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backupFile="1" codeName="ThisWorkbook"/>
  <mc:AlternateContent xmlns:mc="http://schemas.openxmlformats.org/markup-compatibility/2006">
    <mc:Choice Requires="x15">
      <x15ac:absPath xmlns:x15ac="http://schemas.microsoft.com/office/spreadsheetml/2010/11/ac" url="https://univorleansfr-my.sharepoint.com/personal/o22101515_campus_univ-orleans_fr/Documents/Space'Tech Orléans/INDRA/Indra-Project/StabTraj/"/>
    </mc:Choice>
  </mc:AlternateContent>
  <xr:revisionPtr revIDLastSave="17" documentId="11_33BE1DDF0D112338084E31510B360557422B2809" xr6:coauthVersionLast="47" xr6:coauthVersionMax="47" xr10:uidLastSave="{514A9D97-52A4-44C3-92E4-9D25A5C86263}"/>
  <bookViews>
    <workbookView xWindow="-5412" yWindow="480" windowWidth="17280" windowHeight="8880" activeTab="1"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Abaco!$G$41:$G$67</definedName>
    <definedName name="Acc_max">Trajecto!$L$24</definedName>
    <definedName name="acc_x">Calculs!$D$4:$D$1004</definedName>
    <definedName name="acc_xz">Calculs!$F$4:$F$1004</definedName>
    <definedName name="acc_z">Calculs!$E$4:$E$1004</definedName>
    <definedName name="Alt_para">Trajecto!$I$27</definedName>
    <definedName name="alt_prop">Abaco!$J$41:$J$67</definedName>
    <definedName name="Alt_rampe">Trajecto!$C$20</definedName>
    <definedName name="Alt_sat">Trajecto!$I$25</definedName>
    <definedName name="Altitude_culmi">Trajecto!$I$26</definedName>
    <definedName name="b_bal">Abaco!$I$41:$I$67</definedName>
    <definedName name="b_prop">Abaco!$H$41:$H$67</definedName>
    <definedName name="Beta">Calculs!$M$4:$M$1004</definedName>
    <definedName name="Beta_rampe">Trajecto!$C$19</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Trajecto!$C$15</definedName>
    <definedName name="Cx_para">Trajecto!$C$28</definedName>
    <definedName name="Cx_satellite">Trajecto!$D$28</definedName>
    <definedName name="D_ail">Stabilito!$C$34</definedName>
    <definedName name="D_can" localSheetId="0">Stabilito!$D$34</definedName>
    <definedName name="D_int" localSheetId="0">Stabilito!$E$34</definedName>
    <definedName name="D_og">Stabilito!$C$23</definedName>
    <definedName name="D_ref">Stabilito!$C$14</definedName>
    <definedName name="D_var">Abaco!$B$41:$B$67</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Trajecto!$C$31</definedName>
    <definedName name="Dt_satellite">Trajecto!$D$31</definedName>
    <definedName name="Dx_para">Trajecto!$C$33</definedName>
    <definedName name="Dx_sat">Trajecto!$D$33</definedName>
    <definedName name="E_ail">Stabilito!$C$30</definedName>
    <definedName name="E_can">Stabilito!$D$30</definedName>
    <definedName name="E_int" localSheetId="0">Stabilito!$E$30</definedName>
    <definedName name="ep_ail">Stabilito!$C$31</definedName>
    <definedName name="ep_can">Stabilito!$D$31</definedName>
    <definedName name="ep_int" localSheetId="0">Stabilito!$E$31</definedName>
    <definedName name="Event">Calculs!$Y$4:$Y$1004</definedName>
    <definedName name="Event_para">Calculs!$Z$4:$Z$1004</definedName>
    <definedName name="Event_sat">Calculs!$AA$4:$AA$1004</definedName>
    <definedName name="f_ail" localSheetId="0">Stabilito!$C$35</definedName>
    <definedName name="f_can" localSheetId="0">Stabilito!$D$35</definedName>
    <definedName name="f_int" localSheetId="0">Stabilito!$E$35</definedName>
    <definedName name="Finesse">Stabilito!$H$27</definedName>
    <definedName name="Forme_ogive">Stabilito!$C$21</definedName>
    <definedName name="g">Info!$E$52</definedName>
    <definedName name="i_P">Calculs!$P$4:$P$1004</definedName>
    <definedName name="I_total">Propu!$D$2</definedName>
    <definedName name="ISP">Propu!$F$2</definedName>
    <definedName name="l_j">Stabilito!$M$6</definedName>
    <definedName name="l_r">Stabilito!$O$6</definedName>
    <definedName name="L_rampe">Trajecto!$C$18</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Propu!$A$317:$A$330</definedName>
    <definedName name="Liste_RC">Propu!$I$317:$J$346</definedName>
    <definedName name="Long_ogive">Stabilito!$C$22</definedName>
    <definedName name="Long_propu">Propu!$R$2</definedName>
    <definedName name="Long_tot">Stabilito!$C$13</definedName>
    <definedName name="m">Calculs!$S$4:$S$1004</definedName>
    <definedName name="m_ail">Stabilito!$C$27</definedName>
    <definedName name="m_bal">Abaco!$F$41:$F$67</definedName>
    <definedName name="m_can">Stabilito!$D$27</definedName>
    <definedName name="m_int" localSheetId="0">Stabilito!$E$27</definedName>
    <definedName name="m_poudre">Propu!$J$2</definedName>
    <definedName name="m_prop">Abaco!$E$41:$E$67</definedName>
    <definedName name="m_satellite">Trajecto!$D$24</definedName>
    <definedName name="m_tot">Trajecto!$C$10</definedName>
    <definedName name="m_var">Abaco!$D$41:$D$67</definedName>
    <definedName name="m_vide">Trajecto!$C$24</definedName>
    <definedName name="Masse_ail">Controle!$H$63</definedName>
    <definedName name="MassePlein">Stabilito!$M$14</definedName>
    <definedName name="MasseSans">Stabilito!$P$14</definedName>
    <definedName name="MasseVide">Stabilito!$N$14</definedName>
    <definedName name="Menu_Empennage">Stabilito!$B$111:$B$112</definedName>
    <definedName name="Menu_Lang">Stabilito!$B$93:$B$94</definedName>
    <definedName name="Menu_Ogive">Stabilito!$B$107:$B$109</definedName>
    <definedName name="Menu_sat">Trajecto!$B$104:$B$105</definedName>
    <definedName name="Menu_Transitions">Stabilito!$B$114:$B$115</definedName>
    <definedName name="Menu_Type">Stabilito!$B$96:$B$100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Stabilito!$C$28</definedName>
    <definedName name="n_can">Stabilito!$D$28</definedName>
    <definedName name="n_int" localSheetId="0">Stabilito!$E$28</definedName>
    <definedName name="Nb_diam">Stabilito!$M$4</definedName>
    <definedName name="Nb_sat">Trajecto!$D$23</definedName>
    <definedName name="Nom">Stabilito!$C$8</definedName>
    <definedName name="p_ail">Stabilito!$C$29</definedName>
    <definedName name="p_can">Stabilito!$D$29</definedName>
    <definedName name="p_int" localSheetId="0">Stabilito!$E$29</definedName>
    <definedName name="pas">Calculs!$A$4:$A$1004</definedName>
    <definedName name="Poids">Calculs!$T$4:$T$1004</definedName>
    <definedName name="Portee_balistique">Trajecto!$J$28</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Stabilito!$C$17</definedName>
    <definedName name="Q_ail">Stabilito!$C$32</definedName>
    <definedName name="Q_can">Stabilito!$D$32</definedName>
    <definedName name="Q_int" localSheetId="0">Stabilito!$E$32</definedName>
    <definedName name="Q_var">Abaco!$C$41:$C$67</definedName>
    <definedName name="R_rampe">Calculs!$U$4:$U$1004</definedName>
    <definedName name="Rho">Calculs!$V$4:$V$1004</definedName>
    <definedName name="Rho_moyen">Info!$E$53</definedName>
    <definedName name="S_ail">Controle!$H$64</definedName>
    <definedName name="S_para">Trajecto!$C$27</definedName>
    <definedName name="S_para_croix">Trajecto!$B$47</definedName>
    <definedName name="S_para_rond">Trajecto!$B$55</definedName>
    <definedName name="S_satellite">Trajecto!$D$27</definedName>
    <definedName name="Sref">Trajecto!$C$14</definedName>
    <definedName name="sS">Trajecto!$F$132</definedName>
    <definedName name="t">Calculs!$B$4:$B$1004</definedName>
    <definedName name="T_balistique">Trajecto!$H$28</definedName>
    <definedName name="T_ini">Trajecto!$H$40</definedName>
    <definedName name="T_para">Trajecto!$C$113</definedName>
    <definedName name="T_satellite">Trajecto!$D$26</definedName>
    <definedName name="Temps_culmi">Trajecto!$H$26</definedName>
    <definedName name="Temps_fin_propu">Propu!$X$3</definedName>
    <definedName name="Trainee">Calculs!$W$4:$W$1004</definedName>
    <definedName name="tT_fus">Trajecto!$F$133</definedName>
    <definedName name="tT_sat">Trajecto!$F$150</definedName>
    <definedName name="Type_fusee">Stabilito!$C$10</definedName>
    <definedName name="Type_masquage" localSheetId="5">Stabilito!$C$26</definedName>
    <definedName name="Type_masquage" localSheetId="0">Stabilito!$C$26</definedName>
    <definedName name="Type_propu">Propu!$V$2</definedName>
    <definedName name="V_ini">Trajecto!$K$40</definedName>
    <definedName name="V_ouv_sat">Trajecto!$K$25</definedName>
    <definedName name="V_ouverture">Trajecto!$K$27</definedName>
    <definedName name="V_para">Trajecto!$C$30</definedName>
    <definedName name="V_prop">Abaco!$K$41:$K$67</definedName>
    <definedName name="V_satellite">Trajecto!$D$30</definedName>
    <definedName name="V_vent">Trajecto!$C$29</definedName>
    <definedName name="V_vent_sat">Trajecto!$D$29</definedName>
    <definedName name="Version" localSheetId="0">Stabilito!$Q$36</definedName>
    <definedName name="Version" localSheetId="1">Trajecto!$N$35</definedName>
    <definedName name="Vit_culmi">Trajecto!$K$26</definedName>
    <definedName name="Vit_max">Trajecto!$K$24</definedName>
    <definedName name="vit_x">Calculs!$G$4:$G$1004</definedName>
    <definedName name="vit_xz">Calculs!$I$4:$I$1004</definedName>
    <definedName name="vit_z">Calculs!$H$4:$H$1004</definedName>
    <definedName name="Vsortie_de_rampe">Trajecto!$K$23</definedName>
    <definedName name="X_ail">Stabilito!$C$33</definedName>
    <definedName name="X_can">Stabilito!$D$33</definedName>
    <definedName name="X_culmi">Trajecto!$J$26</definedName>
    <definedName name="X_ini">Trajecto!$J$40</definedName>
    <definedName name="X_int" localSheetId="0">Stabilito!$E$33</definedName>
    <definedName name="X_j">Stabilito!$M$9</definedName>
    <definedName name="X_para">Trajecto!$J$27</definedName>
    <definedName name="X_r">Stabilito!$O$9</definedName>
    <definedName name="X_satellite">Trajecto!$J$25</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Stabilito!$C$18</definedName>
    <definedName name="XpropuVide">Propu!$P$2</definedName>
    <definedName name="Z_ini">Trajecto!$I$40</definedName>
    <definedName name="_xlnm.Print_Area" localSheetId="5">Abaco!$A$1:$M$35</definedName>
    <definedName name="_xlnm.Print_Area" localSheetId="2">Courbes!$A$1:$K$78</definedName>
    <definedName name="_xlnm.Print_Area" localSheetId="0">Stabilito!$A$1:$Q$37</definedName>
    <definedName name="_xlnm.Print_Area" localSheetId="1">Trajecto!$A$1:$N$35</definedName>
    <definedName name="zZ_fus">Trajecto!$F$134</definedName>
    <definedName name="zZ_sat">Trajecto!$F$151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07" i="4" l="1"/>
  <c r="W307" i="4"/>
  <c r="V307" i="4"/>
  <c r="U307" i="4"/>
  <c r="T307" i="4"/>
  <c r="S307" i="4"/>
  <c r="R307" i="4"/>
  <c r="Q307" i="4"/>
  <c r="P307" i="4"/>
  <c r="O307" i="4"/>
  <c r="N307" i="4"/>
  <c r="M307" i="4"/>
  <c r="L307" i="4"/>
  <c r="K307" i="4"/>
  <c r="J307" i="4"/>
  <c r="I307" i="4"/>
  <c r="H307" i="4"/>
  <c r="G307" i="4"/>
  <c r="F307" i="4"/>
  <c r="E307" i="4"/>
  <c r="D307" i="4"/>
  <c r="C307" i="4"/>
  <c r="B307" i="4"/>
  <c r="J304" i="4"/>
  <c r="B304" i="4"/>
  <c r="O7" i="6"/>
  <c r="O8" i="6"/>
  <c r="K25" i="7" s="1"/>
  <c r="M7" i="6"/>
  <c r="C14" i="6"/>
  <c r="H6" i="7" s="1"/>
  <c r="C19" i="6"/>
  <c r="L322" i="4"/>
  <c r="L324" i="4"/>
  <c r="L325" i="4"/>
  <c r="L326" i="4"/>
  <c r="L320" i="4"/>
  <c r="L319" i="4"/>
  <c r="L318" i="4"/>
  <c r="L317" i="4"/>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K105" i="4" s="1"/>
  <c r="M103" i="4"/>
  <c r="N103" i="4"/>
  <c r="O103" i="4"/>
  <c r="P103" i="4"/>
  <c r="Q103" i="4"/>
  <c r="R103" i="4"/>
  <c r="S103" i="4"/>
  <c r="T103" i="4"/>
  <c r="U103" i="4"/>
  <c r="V103" i="4"/>
  <c r="W103" i="4"/>
  <c r="X103" i="4"/>
  <c r="S98" i="4"/>
  <c r="T98" i="4"/>
  <c r="U98" i="4"/>
  <c r="V98" i="4"/>
  <c r="U100" i="4" s="1"/>
  <c r="W98" i="4"/>
  <c r="X98" i="4"/>
  <c r="D98" i="4"/>
  <c r="E98" i="4"/>
  <c r="F98" i="4"/>
  <c r="G98" i="4"/>
  <c r="H98" i="4"/>
  <c r="I98" i="4"/>
  <c r="J98" i="4"/>
  <c r="K98" i="4"/>
  <c r="L98" i="4"/>
  <c r="M98" i="4"/>
  <c r="N98" i="4"/>
  <c r="O98" i="4"/>
  <c r="P98" i="4"/>
  <c r="Q98" i="4"/>
  <c r="R98" i="4"/>
  <c r="C103" i="4"/>
  <c r="C98" i="4"/>
  <c r="X104" i="4"/>
  <c r="X105" i="4" s="1"/>
  <c r="W104" i="4"/>
  <c r="V104" i="4"/>
  <c r="U104" i="4"/>
  <c r="T104" i="4"/>
  <c r="S104" i="4"/>
  <c r="R104" i="4"/>
  <c r="Q104" i="4"/>
  <c r="P104" i="4"/>
  <c r="O104" i="4"/>
  <c r="N105" i="4" s="1"/>
  <c r="N104" i="4"/>
  <c r="M104" i="4"/>
  <c r="L105" i="4" s="1"/>
  <c r="L104" i="4"/>
  <c r="K104" i="4"/>
  <c r="J104" i="4"/>
  <c r="I105" i="4" s="1"/>
  <c r="I104" i="4"/>
  <c r="H104" i="4"/>
  <c r="G104" i="4"/>
  <c r="F104" i="4"/>
  <c r="E104" i="4"/>
  <c r="D104" i="4"/>
  <c r="C104" i="4"/>
  <c r="B104" i="4"/>
  <c r="L102" i="4"/>
  <c r="H102" i="4"/>
  <c r="B102" i="4"/>
  <c r="X99" i="4"/>
  <c r="W99" i="4"/>
  <c r="V100" i="4" s="1"/>
  <c r="V99" i="4"/>
  <c r="U99" i="4"/>
  <c r="T99" i="4"/>
  <c r="S99" i="4"/>
  <c r="R99" i="4"/>
  <c r="Q99" i="4"/>
  <c r="P99" i="4"/>
  <c r="O99" i="4"/>
  <c r="N99" i="4"/>
  <c r="M99" i="4"/>
  <c r="L99" i="4"/>
  <c r="L100" i="4" s="1"/>
  <c r="K99" i="4"/>
  <c r="J99" i="4"/>
  <c r="J100" i="4" s="1"/>
  <c r="I99" i="4"/>
  <c r="H99" i="4"/>
  <c r="G99" i="4"/>
  <c r="F99" i="4"/>
  <c r="E100" i="4" s="1"/>
  <c r="E99" i="4"/>
  <c r="D99" i="4"/>
  <c r="C99" i="4"/>
  <c r="B100" i="4" s="1"/>
  <c r="B99" i="4"/>
  <c r="L97" i="4"/>
  <c r="H97" i="4"/>
  <c r="B97" i="4"/>
  <c r="X95" i="4"/>
  <c r="W95" i="4"/>
  <c r="V95" i="4"/>
  <c r="U95" i="4"/>
  <c r="T95" i="4"/>
  <c r="S95" i="4"/>
  <c r="R95" i="4"/>
  <c r="Q95" i="4"/>
  <c r="P95" i="4"/>
  <c r="O95" i="4"/>
  <c r="N95" i="4"/>
  <c r="M95" i="4"/>
  <c r="L95" i="4"/>
  <c r="K95" i="4"/>
  <c r="J95" i="4"/>
  <c r="I95" i="4"/>
  <c r="H95" i="4"/>
  <c r="G95" i="4"/>
  <c r="F95" i="4"/>
  <c r="E95" i="4"/>
  <c r="D95" i="4"/>
  <c r="C95" i="4"/>
  <c r="B95" i="4"/>
  <c r="D92" i="4" s="1"/>
  <c r="F92" i="4" s="1"/>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1" i="6"/>
  <c r="B30" i="6"/>
  <c r="B29" i="6"/>
  <c r="B28" i="6"/>
  <c r="B27" i="6"/>
  <c r="B35" i="6"/>
  <c r="B34" i="6"/>
  <c r="B33" i="6"/>
  <c r="B32" i="6"/>
  <c r="U35" i="7"/>
  <c r="U34" i="7"/>
  <c r="U33" i="7"/>
  <c r="U32" i="7"/>
  <c r="U31" i="7"/>
  <c r="U30" i="7"/>
  <c r="P32" i="7"/>
  <c r="P31" i="7"/>
  <c r="Q34" i="7"/>
  <c r="P29" i="7"/>
  <c r="U20" i="7"/>
  <c r="Q17" i="7"/>
  <c r="U16" i="7"/>
  <c r="U13" i="7"/>
  <c r="Q12" i="7"/>
  <c r="U11" i="7"/>
  <c r="Q3" i="7"/>
  <c r="E17" i="7"/>
  <c r="E16" i="7"/>
  <c r="E15" i="7"/>
  <c r="E13" i="7"/>
  <c r="B52" i="1"/>
  <c r="B50" i="1"/>
  <c r="B55" i="1"/>
  <c r="D27" i="1"/>
  <c r="I69" i="7" s="1"/>
  <c r="D24" i="1"/>
  <c r="C18" i="1"/>
  <c r="H8" i="7" s="1"/>
  <c r="C161" i="6"/>
  <c r="C162" i="6"/>
  <c r="C160" i="6"/>
  <c r="C159" i="6"/>
  <c r="C158" i="6"/>
  <c r="C25" i="6"/>
  <c r="M21" i="6"/>
  <c r="C33" i="6"/>
  <c r="C140" i="6" s="1"/>
  <c r="C18" i="6"/>
  <c r="D25" i="7" s="1"/>
  <c r="F108" i="1"/>
  <c r="C113" i="1" s="1"/>
  <c r="C152" i="1"/>
  <c r="C150" i="1"/>
  <c r="C148" i="1"/>
  <c r="N33" i="1"/>
  <c r="C131" i="1"/>
  <c r="B25" i="1"/>
  <c r="J30" i="6"/>
  <c r="E191" i="6" s="1"/>
  <c r="G30" i="6"/>
  <c r="E182" i="6" s="1"/>
  <c r="J29" i="6"/>
  <c r="B188" i="6" s="1"/>
  <c r="G29" i="6"/>
  <c r="J28" i="6"/>
  <c r="C185" i="6" s="1"/>
  <c r="J27" i="6"/>
  <c r="G28" i="6"/>
  <c r="C182" i="6" s="1"/>
  <c r="G27" i="6"/>
  <c r="W35" i="6"/>
  <c r="B100" i="6"/>
  <c r="B97" i="6"/>
  <c r="B98" i="6"/>
  <c r="Q241" i="4"/>
  <c r="P241" i="4"/>
  <c r="O241" i="4"/>
  <c r="N241" i="4"/>
  <c r="M241" i="4"/>
  <c r="L241" i="4"/>
  <c r="K241" i="4"/>
  <c r="J241" i="4"/>
  <c r="I241" i="4"/>
  <c r="H241" i="4"/>
  <c r="G241" i="4"/>
  <c r="F241" i="4"/>
  <c r="E241" i="4"/>
  <c r="D241" i="4"/>
  <c r="C241" i="4"/>
  <c r="B241" i="4"/>
  <c r="S240" i="4"/>
  <c r="R241" i="4" s="1"/>
  <c r="T240" i="4"/>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T234" i="4"/>
  <c r="U234" i="4" s="1"/>
  <c r="V234" i="4" s="1"/>
  <c r="W234"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F231" i="4"/>
  <c r="E231" i="4"/>
  <c r="D231" i="4"/>
  <c r="C231" i="4"/>
  <c r="B231" i="4"/>
  <c r="D228" i="4" s="1"/>
  <c r="F228" i="4" s="1"/>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X244" i="4" s="1"/>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3" i="4" s="1"/>
  <c r="F133" i="4" s="1"/>
  <c r="D136" i="4"/>
  <c r="E136" i="4"/>
  <c r="F136" i="4"/>
  <c r="G136" i="4"/>
  <c r="H136" i="4"/>
  <c r="I136" i="4"/>
  <c r="J136" i="4"/>
  <c r="K136" i="4"/>
  <c r="L136" i="4"/>
  <c r="M136" i="4"/>
  <c r="N136" i="4"/>
  <c r="O136" i="4"/>
  <c r="P136" i="4"/>
  <c r="Q136" i="4"/>
  <c r="R136" i="4"/>
  <c r="S136" i="4"/>
  <c r="T136" i="4"/>
  <c r="U136" i="4"/>
  <c r="V136" i="4"/>
  <c r="W136" i="4"/>
  <c r="X136" i="4"/>
  <c r="J133" i="4"/>
  <c r="N4" i="3"/>
  <c r="M4" i="3" s="1"/>
  <c r="H4" i="3" s="1"/>
  <c r="J4" i="3"/>
  <c r="K4" i="3"/>
  <c r="V4" i="3" s="1"/>
  <c r="I4" i="3"/>
  <c r="B113" i="4"/>
  <c r="C35"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7" i="1"/>
  <c r="D29"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D36" i="4" s="1"/>
  <c r="F36" i="4" s="1"/>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R54" i="4"/>
  <c r="S54" i="4"/>
  <c r="T54" i="4"/>
  <c r="U54" i="4"/>
  <c r="V54" i="4"/>
  <c r="W54" i="4"/>
  <c r="X54" i="4"/>
  <c r="J51" i="4"/>
  <c r="B59" i="4"/>
  <c r="C59" i="4"/>
  <c r="D56" i="4" s="1"/>
  <c r="F56" i="4" s="1"/>
  <c r="D59" i="4"/>
  <c r="E59" i="4"/>
  <c r="F59" i="4"/>
  <c r="G59" i="4"/>
  <c r="H59" i="4"/>
  <c r="I59" i="4"/>
  <c r="J59" i="4"/>
  <c r="K59" i="4"/>
  <c r="L59" i="4"/>
  <c r="M59" i="4"/>
  <c r="N59" i="4"/>
  <c r="O59" i="4"/>
  <c r="P59" i="4"/>
  <c r="Q59" i="4"/>
  <c r="R59" i="4"/>
  <c r="S59" i="4"/>
  <c r="T59" i="4"/>
  <c r="U59" i="4"/>
  <c r="V59" i="4"/>
  <c r="W59" i="4"/>
  <c r="X59" i="4"/>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P75" i="4"/>
  <c r="Q75" i="4"/>
  <c r="R75" i="4"/>
  <c r="S75" i="4"/>
  <c r="T75" i="4"/>
  <c r="U75" i="4"/>
  <c r="V75" i="4"/>
  <c r="W75" i="4"/>
  <c r="X75" i="4"/>
  <c r="J72" i="4"/>
  <c r="B80" i="4"/>
  <c r="C80" i="4"/>
  <c r="D80" i="4"/>
  <c r="D77" i="4" s="1"/>
  <c r="F77" i="4" s="1"/>
  <c r="E80" i="4"/>
  <c r="F80" i="4"/>
  <c r="G80" i="4"/>
  <c r="H80" i="4"/>
  <c r="I80" i="4"/>
  <c r="J80" i="4"/>
  <c r="K80" i="4"/>
  <c r="L80" i="4"/>
  <c r="M80" i="4"/>
  <c r="N80" i="4"/>
  <c r="O80" i="4"/>
  <c r="P80" i="4"/>
  <c r="Q80" i="4"/>
  <c r="R80" i="4"/>
  <c r="S80" i="4"/>
  <c r="T80" i="4"/>
  <c r="U80" i="4"/>
  <c r="V80" i="4"/>
  <c r="W80" i="4"/>
  <c r="X80" i="4"/>
  <c r="J77" i="4"/>
  <c r="C84" i="4"/>
  <c r="B84" i="4"/>
  <c r="D84" i="4"/>
  <c r="D85" i="4" s="1"/>
  <c r="E84" i="4"/>
  <c r="F84" i="4"/>
  <c r="E85" i="4" s="1"/>
  <c r="G84" i="4"/>
  <c r="F85" i="4" s="1"/>
  <c r="H84" i="4"/>
  <c r="I84" i="4"/>
  <c r="J84" i="4"/>
  <c r="K84" i="4"/>
  <c r="L84" i="4"/>
  <c r="L85" i="4" s="1"/>
  <c r="M84" i="4"/>
  <c r="N84" i="4"/>
  <c r="M85" i="4" s="1"/>
  <c r="O84" i="4"/>
  <c r="P84" i="4"/>
  <c r="Q84" i="4"/>
  <c r="P85" i="4" s="1"/>
  <c r="R84" i="4"/>
  <c r="Q85" i="4" s="1"/>
  <c r="S84" i="4"/>
  <c r="T84" i="4"/>
  <c r="U84" i="4"/>
  <c r="V84" i="4"/>
  <c r="W84" i="4"/>
  <c r="V85" i="4" s="1"/>
  <c r="X84" i="4"/>
  <c r="H82" i="4"/>
  <c r="L82" i="4"/>
  <c r="C89" i="4"/>
  <c r="C90" i="4" s="1"/>
  <c r="B89" i="4"/>
  <c r="D89" i="4"/>
  <c r="E89" i="4"/>
  <c r="E90" i="4" s="1"/>
  <c r="F89" i="4"/>
  <c r="G89" i="4"/>
  <c r="F90" i="4" s="1"/>
  <c r="H89" i="4"/>
  <c r="I89" i="4"/>
  <c r="H90" i="4" s="1"/>
  <c r="J89" i="4"/>
  <c r="K89" i="4"/>
  <c r="J90" i="4" s="1"/>
  <c r="L89" i="4"/>
  <c r="M89" i="4"/>
  <c r="L90" i="4" s="1"/>
  <c r="N89" i="4"/>
  <c r="N90" i="4" s="1"/>
  <c r="O89" i="4"/>
  <c r="P89" i="4"/>
  <c r="Q89" i="4"/>
  <c r="R89" i="4"/>
  <c r="S89" i="4"/>
  <c r="S90" i="4" s="1"/>
  <c r="T89" i="4"/>
  <c r="U89" i="4"/>
  <c r="U90" i="4" s="1"/>
  <c r="V89" i="4"/>
  <c r="W89" i="4"/>
  <c r="V90" i="4" s="1"/>
  <c r="X89" i="4"/>
  <c r="X90" i="4" s="1"/>
  <c r="H87" i="4"/>
  <c r="J87" i="4" s="1"/>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C141" i="4"/>
  <c r="D141" i="4"/>
  <c r="D138" i="4" s="1"/>
  <c r="F138" i="4" s="1"/>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69" i="4" s="1"/>
  <c r="F269" i="4" s="1"/>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19" i="6"/>
  <c r="F321" i="4"/>
  <c r="F320" i="4"/>
  <c r="C21" i="5"/>
  <c r="C20" i="5"/>
  <c r="C26" i="5"/>
  <c r="C22" i="5"/>
  <c r="C17" i="5"/>
  <c r="C19" i="5"/>
  <c r="C16" i="5"/>
  <c r="C15" i="5"/>
  <c r="L2" i="6"/>
  <c r="C317" i="4"/>
  <c r="F317" i="4"/>
  <c r="R317" i="4"/>
  <c r="C318" i="4"/>
  <c r="F318" i="4"/>
  <c r="R318" i="4"/>
  <c r="C319" i="4"/>
  <c r="F319" i="4"/>
  <c r="C320" i="4"/>
  <c r="C321" i="4"/>
  <c r="C322" i="4"/>
  <c r="C323" i="4"/>
  <c r="C324" i="4"/>
  <c r="B146" i="2"/>
  <c r="B35" i="1"/>
  <c r="B36" i="6"/>
  <c r="B15" i="8"/>
  <c r="B76" i="2"/>
  <c r="B11" i="8"/>
  <c r="B107" i="1"/>
  <c r="F42" i="5"/>
  <c r="B71" i="8"/>
  <c r="B78" i="8"/>
  <c r="C5" i="8"/>
  <c r="B76" i="8"/>
  <c r="B74" i="8"/>
  <c r="B73" i="8"/>
  <c r="B79" i="8" s="1"/>
  <c r="B10" i="8"/>
  <c r="C4" i="8"/>
  <c r="C16" i="8"/>
  <c r="C14" i="8"/>
  <c r="C12" i="8"/>
  <c r="B12" i="8"/>
  <c r="C9" i="8"/>
  <c r="C8" i="8"/>
  <c r="B8" i="8"/>
  <c r="C7" i="8"/>
  <c r="N36" i="6"/>
  <c r="C51" i="5"/>
  <c r="C53" i="5"/>
  <c r="T18" i="6"/>
  <c r="S17" i="6"/>
  <c r="S19" i="6"/>
  <c r="S18" i="6"/>
  <c r="S13" i="6"/>
  <c r="S14" i="6"/>
  <c r="S12" i="6"/>
  <c r="T16" i="6"/>
  <c r="T11" i="6"/>
  <c r="L38" i="6"/>
  <c r="B93"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2" i="5"/>
  <c r="A1" i="4"/>
  <c r="A3" i="4"/>
  <c r="A4" i="4"/>
  <c r="B77" i="2"/>
  <c r="B78" i="2"/>
  <c r="B131" i="2"/>
  <c r="B133" i="2"/>
  <c r="B134" i="2"/>
  <c r="B135" i="2"/>
  <c r="B137" i="2"/>
  <c r="B138" i="2"/>
  <c r="B140" i="2"/>
  <c r="B141" i="2"/>
  <c r="B144" i="2"/>
  <c r="C4" i="1"/>
  <c r="C6" i="1"/>
  <c r="C7" i="1"/>
  <c r="C23" i="1"/>
  <c r="B8" i="1"/>
  <c r="C8" i="1"/>
  <c r="C9" i="1"/>
  <c r="B10" i="1"/>
  <c r="B11" i="1"/>
  <c r="C11" i="1"/>
  <c r="C13" i="1"/>
  <c r="C17" i="1"/>
  <c r="B18" i="1"/>
  <c r="B19" i="1"/>
  <c r="C22" i="1"/>
  <c r="G22" i="1"/>
  <c r="H22" i="1"/>
  <c r="J22" i="1"/>
  <c r="K22" i="1"/>
  <c r="F23" i="1"/>
  <c r="B24" i="1"/>
  <c r="F24" i="1"/>
  <c r="B26" i="1"/>
  <c r="F25" i="1"/>
  <c r="H25" i="1"/>
  <c r="F27" i="1"/>
  <c r="B29" i="1"/>
  <c r="F28" i="1"/>
  <c r="B30" i="1"/>
  <c r="B31" i="1"/>
  <c r="H31" i="1"/>
  <c r="B32" i="1"/>
  <c r="F32" i="1"/>
  <c r="B33" i="1"/>
  <c r="F33" i="1"/>
  <c r="F34" i="1"/>
  <c r="A38" i="1"/>
  <c r="F38" i="1"/>
  <c r="H38" i="1"/>
  <c r="J38" i="1"/>
  <c r="K38" i="1"/>
  <c r="F40" i="1"/>
  <c r="M40" i="1"/>
  <c r="F41" i="1"/>
  <c r="B42" i="1"/>
  <c r="F42" i="1"/>
  <c r="F43" i="1"/>
  <c r="B44" i="1"/>
  <c r="F45" i="1"/>
  <c r="F46" i="1"/>
  <c r="F47" i="1"/>
  <c r="L47" i="1"/>
  <c r="F48" i="1"/>
  <c r="H48" i="1"/>
  <c r="F49" i="1"/>
  <c r="I49" i="1"/>
  <c r="L49" i="1"/>
  <c r="M49" i="1"/>
  <c r="B102" i="1"/>
  <c r="B109" i="1"/>
  <c r="B110" i="1"/>
  <c r="B111" i="1"/>
  <c r="B112" i="1"/>
  <c r="B113" i="1"/>
  <c r="B117" i="1"/>
  <c r="C140" i="1"/>
  <c r="C142" i="1"/>
  <c r="C144" i="1"/>
  <c r="B148" i="1"/>
  <c r="C4" i="6"/>
  <c r="C6" i="6"/>
  <c r="L6" i="6"/>
  <c r="C7" i="6"/>
  <c r="L7" i="6"/>
  <c r="B8" i="6"/>
  <c r="L8" i="6"/>
  <c r="L9" i="6"/>
  <c r="B11" i="6"/>
  <c r="M11" i="6"/>
  <c r="N11" i="6"/>
  <c r="P11" i="6"/>
  <c r="B12" i="6"/>
  <c r="L12" i="6"/>
  <c r="B13" i="6"/>
  <c r="L13" i="6"/>
  <c r="B14" i="6"/>
  <c r="L14" i="6"/>
  <c r="L15" i="6"/>
  <c r="C16" i="6"/>
  <c r="B18" i="6"/>
  <c r="L18" i="6"/>
  <c r="L19" i="6"/>
  <c r="C20" i="6"/>
  <c r="L20" i="6"/>
  <c r="B21" i="6"/>
  <c r="L21" i="6"/>
  <c r="B22" i="6"/>
  <c r="L22" i="6"/>
  <c r="B23" i="6"/>
  <c r="D25" i="6"/>
  <c r="F26" i="6"/>
  <c r="H26" i="6"/>
  <c r="E27" i="6"/>
  <c r="F28" i="6"/>
  <c r="F29" i="6"/>
  <c r="F30" i="6"/>
  <c r="E31" i="6"/>
  <c r="E32" i="6"/>
  <c r="D35" i="6"/>
  <c r="B91" i="6"/>
  <c r="B96"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C27" i="1"/>
  <c r="E127" i="7" s="1"/>
  <c r="E8" i="7"/>
  <c r="U120" i="4"/>
  <c r="T121" i="4" s="1"/>
  <c r="W85" i="4"/>
  <c r="U85" i="4"/>
  <c r="O85" i="4"/>
  <c r="R216" i="4"/>
  <c r="V115" i="4"/>
  <c r="W115" i="4" s="1"/>
  <c r="Q90" i="4"/>
  <c r="O90" i="4"/>
  <c r="K90" i="4"/>
  <c r="G90" i="4"/>
  <c r="T214" i="4"/>
  <c r="U214" i="4" s="1"/>
  <c r="V214" i="4" s="1"/>
  <c r="W214" i="4" s="1"/>
  <c r="D284" i="4"/>
  <c r="F284" i="4" s="1"/>
  <c r="X85" i="4"/>
  <c r="T85" i="4"/>
  <c r="J85" i="4"/>
  <c r="H85" i="4"/>
  <c r="B85" i="4"/>
  <c r="D173" i="4"/>
  <c r="F173" i="4" s="1"/>
  <c r="D153" i="4"/>
  <c r="F153" i="4" s="1"/>
  <c r="V120" i="4"/>
  <c r="W120" i="4" s="1"/>
  <c r="R90" i="4"/>
  <c r="D72" i="4"/>
  <c r="F72" i="4" s="1"/>
  <c r="D51" i="4"/>
  <c r="F51" i="4" s="1"/>
  <c r="D31" i="4"/>
  <c r="F31" i="4" s="1"/>
  <c r="U165" i="4"/>
  <c r="T166" i="4" s="1"/>
  <c r="R201" i="4"/>
  <c r="T211" i="4"/>
  <c r="B189" i="6"/>
  <c r="S251" i="4"/>
  <c r="L246" i="4"/>
  <c r="K246" i="4"/>
  <c r="R251" i="4"/>
  <c r="V165" i="4"/>
  <c r="U166" i="4" s="1"/>
  <c r="U211" i="4"/>
  <c r="M246" i="4"/>
  <c r="V250" i="4"/>
  <c r="U251" i="4" s="1"/>
  <c r="T251" i="4"/>
  <c r="V211" i="4"/>
  <c r="N246" i="4"/>
  <c r="X245" i="4"/>
  <c r="W211" i="4"/>
  <c r="X211" i="4"/>
  <c r="O246" i="4"/>
  <c r="P246" i="4"/>
  <c r="Q246" i="4"/>
  <c r="R246" i="4"/>
  <c r="S246" i="4"/>
  <c r="T246" i="4"/>
  <c r="U246" i="4"/>
  <c r="V246" i="4"/>
  <c r="W130" i="4"/>
  <c r="V131" i="4" s="1"/>
  <c r="U125" i="4"/>
  <c r="V125" i="4" s="1"/>
  <c r="C148" i="6"/>
  <c r="E188" i="6"/>
  <c r="P14" i="6"/>
  <c r="E11" i="7" s="1"/>
  <c r="P15" i="6"/>
  <c r="H42" i="7" s="1"/>
  <c r="E29" i="1"/>
  <c r="C133" i="6"/>
  <c r="C163" i="6"/>
  <c r="C136" i="6"/>
  <c r="H69" i="7"/>
  <c r="O21" i="6"/>
  <c r="E192" i="6"/>
  <c r="C167" i="6"/>
  <c r="C166" i="6"/>
  <c r="D161" i="6"/>
  <c r="E161" i="6" s="1"/>
  <c r="D158" i="6"/>
  <c r="E158" i="6" s="1"/>
  <c r="D162" i="6"/>
  <c r="E162" i="6" s="1"/>
  <c r="D160" i="6"/>
  <c r="E160" i="6" s="1"/>
  <c r="D159" i="6"/>
  <c r="E159" i="6" s="1"/>
  <c r="D166" i="6"/>
  <c r="E166" i="6" s="1"/>
  <c r="D167" i="6"/>
  <c r="E167" i="6" s="1"/>
  <c r="D163" i="6"/>
  <c r="E163" i="6" s="1"/>
  <c r="D165" i="6"/>
  <c r="E165" i="6" s="1"/>
  <c r="D164" i="6"/>
  <c r="E164" i="6" s="1"/>
  <c r="C165" i="6"/>
  <c r="O22" i="6"/>
  <c r="M22" i="6"/>
  <c r="C164" i="6"/>
  <c r="S206" i="4"/>
  <c r="R206" i="4"/>
  <c r="T206" i="4"/>
  <c r="U206" i="4"/>
  <c r="X205" i="4"/>
  <c r="W206" i="4" s="1"/>
  <c r="V206" i="4"/>
  <c r="X100" i="4"/>
  <c r="C105" i="4"/>
  <c r="G105" i="4"/>
  <c r="O105" i="4"/>
  <c r="S100" i="4"/>
  <c r="H100" i="4"/>
  <c r="Q100" i="4"/>
  <c r="Q105" i="4"/>
  <c r="N194" i="4" l="1"/>
  <c r="L196" i="4"/>
  <c r="X115" i="4"/>
  <c r="V116" i="4"/>
  <c r="B77" i="8"/>
  <c r="W90" i="4"/>
  <c r="D178" i="4"/>
  <c r="F178" i="4" s="1"/>
  <c r="D168" i="4"/>
  <c r="F168" i="4" s="1"/>
  <c r="P90" i="4"/>
  <c r="J82" i="4"/>
  <c r="I85" i="4"/>
  <c r="D274" i="4"/>
  <c r="F274" i="4" s="1"/>
  <c r="C198" i="6"/>
  <c r="J105" i="4"/>
  <c r="D90" i="4"/>
  <c r="T126" i="4"/>
  <c r="X246" i="4"/>
  <c r="S226" i="4"/>
  <c r="R85" i="4"/>
  <c r="L4" i="3"/>
  <c r="G100" i="4"/>
  <c r="T90" i="4"/>
  <c r="D279" i="4"/>
  <c r="F279" i="4" s="1"/>
  <c r="D258" i="4"/>
  <c r="F258" i="4" s="1"/>
  <c r="M90" i="4"/>
  <c r="S191" i="4"/>
  <c r="C197" i="6"/>
  <c r="B197" i="6" s="1"/>
  <c r="K196" i="4"/>
  <c r="G85" i="4"/>
  <c r="S85" i="4"/>
  <c r="D61" i="4"/>
  <c r="F61" i="4" s="1"/>
  <c r="D41" i="4"/>
  <c r="F41" i="4" s="1"/>
  <c r="P105" i="4"/>
  <c r="D158" i="4"/>
  <c r="F158" i="4" s="1"/>
  <c r="D143" i="4"/>
  <c r="F143" i="4" s="1"/>
  <c r="B105" i="4"/>
  <c r="R105" i="4"/>
  <c r="R236" i="4"/>
  <c r="U116" i="4"/>
  <c r="D113" i="4" s="1"/>
  <c r="F113" i="4" s="1"/>
  <c r="I90" i="4"/>
  <c r="N85" i="4"/>
  <c r="C184" i="6"/>
  <c r="U256" i="4"/>
  <c r="E105" i="4"/>
  <c r="S105" i="4"/>
  <c r="P100" i="4"/>
  <c r="T105" i="4"/>
  <c r="D218" i="4"/>
  <c r="F218" i="4" s="1"/>
  <c r="M20" i="6"/>
  <c r="K85" i="4"/>
  <c r="D67" i="4"/>
  <c r="F67" i="4" s="1"/>
  <c r="D46" i="4"/>
  <c r="F46" i="4" s="1"/>
  <c r="D26" i="4"/>
  <c r="F26" i="4" s="1"/>
  <c r="R100" i="4"/>
  <c r="E185" i="6"/>
  <c r="W116" i="4"/>
  <c r="X116" i="4"/>
  <c r="X120" i="4"/>
  <c r="V121" i="4"/>
  <c r="U239" i="4"/>
  <c r="V239" i="4" s="1"/>
  <c r="W239" i="4" s="1"/>
  <c r="X239" i="4" s="1"/>
  <c r="S241" i="4"/>
  <c r="U126" i="4"/>
  <c r="W125" i="4"/>
  <c r="S216" i="4"/>
  <c r="U215" i="4"/>
  <c r="T216" i="4" s="1"/>
  <c r="D309" i="4"/>
  <c r="F309" i="4" s="1"/>
  <c r="D299" i="4"/>
  <c r="F299" i="4" s="1"/>
  <c r="D294" i="4"/>
  <c r="F294" i="4" s="1"/>
  <c r="D208" i="4"/>
  <c r="F208" i="4" s="1"/>
  <c r="B90" i="4"/>
  <c r="W165" i="4"/>
  <c r="U121" i="4"/>
  <c r="U110" i="4"/>
  <c r="J97" i="4"/>
  <c r="F100" i="4"/>
  <c r="N100" i="4"/>
  <c r="T100" i="4"/>
  <c r="V105" i="4"/>
  <c r="T241" i="4"/>
  <c r="C100" i="4"/>
  <c r="W100" i="4"/>
  <c r="H105" i="4"/>
  <c r="U105" i="4"/>
  <c r="D126" i="6"/>
  <c r="W250" i="4"/>
  <c r="X250" i="4" s="1"/>
  <c r="X251" i="4" s="1"/>
  <c r="D289" i="4"/>
  <c r="F289" i="4" s="1"/>
  <c r="X130" i="4"/>
  <c r="W246" i="4"/>
  <c r="D243" i="4" s="1"/>
  <c r="F243" i="4" s="1"/>
  <c r="C85" i="4"/>
  <c r="B199" i="6"/>
  <c r="D100" i="4"/>
  <c r="J102" i="4"/>
  <c r="F105" i="4"/>
  <c r="M105" i="4"/>
  <c r="E186" i="6"/>
  <c r="E187" i="6"/>
  <c r="J24" i="7"/>
  <c r="D304" i="4"/>
  <c r="F304" i="4" s="1"/>
  <c r="U200" i="4"/>
  <c r="S201" i="4"/>
  <c r="T191" i="4"/>
  <c r="V190" i="4"/>
  <c r="T226" i="4"/>
  <c r="V225" i="4"/>
  <c r="X255" i="4"/>
  <c r="V256" i="4"/>
  <c r="X240" i="4"/>
  <c r="W251" i="4"/>
  <c r="U235" i="4"/>
  <c r="S236" i="4"/>
  <c r="K100" i="4"/>
  <c r="M100" i="4"/>
  <c r="O100" i="4"/>
  <c r="D105" i="4"/>
  <c r="W105" i="4"/>
  <c r="I100" i="4"/>
  <c r="X206" i="4"/>
  <c r="D203" i="4" s="1"/>
  <c r="F203" i="4" s="1"/>
  <c r="V215" i="4"/>
  <c r="B2" i="4"/>
  <c r="M24" i="6"/>
  <c r="K24" i="7"/>
  <c r="F94" i="7"/>
  <c r="M23" i="6"/>
  <c r="B57" i="8"/>
  <c r="C57" i="8" s="1"/>
  <c r="C14" i="1"/>
  <c r="H51" i="7" s="1"/>
  <c r="B59" i="8"/>
  <c r="C59" i="8" s="1"/>
  <c r="D178" i="6"/>
  <c r="E178" i="6" s="1"/>
  <c r="C34" i="6"/>
  <c r="E56" i="7" s="1"/>
  <c r="B61" i="8"/>
  <c r="C61" i="8" s="1"/>
  <c r="E40" i="7"/>
  <c r="O23" i="6"/>
  <c r="O24" i="6"/>
  <c r="B53" i="8"/>
  <c r="C53" i="8" s="1"/>
  <c r="B63" i="8"/>
  <c r="C63" i="8" s="1"/>
  <c r="B67" i="8"/>
  <c r="C67" i="8" s="1"/>
  <c r="B62" i="8"/>
  <c r="C62" i="8" s="1"/>
  <c r="B65" i="8"/>
  <c r="C65" i="8" s="1"/>
  <c r="H27" i="6"/>
  <c r="H45" i="7" s="1"/>
  <c r="C15" i="8"/>
  <c r="B66" i="8"/>
  <c r="C66" i="8" s="1"/>
  <c r="B54" i="8"/>
  <c r="C54" i="8" s="1"/>
  <c r="B56" i="8"/>
  <c r="C56" i="8" s="1"/>
  <c r="B60" i="8"/>
  <c r="C60" i="8" s="1"/>
  <c r="O18" i="6"/>
  <c r="D34" i="6"/>
  <c r="B52" i="8"/>
  <c r="C52" i="8" s="1"/>
  <c r="D26" i="7"/>
  <c r="B51" i="8"/>
  <c r="C51" i="8" s="1"/>
  <c r="B58" i="8"/>
  <c r="C58" i="8" s="1"/>
  <c r="B64" i="8"/>
  <c r="C64" i="8" s="1"/>
  <c r="B50" i="8"/>
  <c r="C50" i="8" s="1"/>
  <c r="B55" i="8"/>
  <c r="C55" i="8" s="1"/>
  <c r="T14" i="6"/>
  <c r="C173" i="6"/>
  <c r="C172" i="6"/>
  <c r="D23" i="7"/>
  <c r="E108" i="7"/>
  <c r="C195" i="6"/>
  <c r="A317" i="4" a="1"/>
  <c r="A341" i="4" s="1"/>
  <c r="D148" i="4"/>
  <c r="F148" i="4" s="1"/>
  <c r="E107" i="7"/>
  <c r="H27" i="1"/>
  <c r="H67" i="7"/>
  <c r="H17" i="7"/>
  <c r="B106" i="1"/>
  <c r="E24" i="1"/>
  <c r="B108" i="1"/>
  <c r="H46" i="1"/>
  <c r="B157" i="1"/>
  <c r="B131" i="1"/>
  <c r="G4" i="3"/>
  <c r="C139" i="6"/>
  <c r="C134" i="6"/>
  <c r="C143" i="6"/>
  <c r="C146" i="6"/>
  <c r="AD4" i="3"/>
  <c r="E190" i="6"/>
  <c r="D30" i="1"/>
  <c r="I68" i="7" s="1"/>
  <c r="C10" i="8"/>
  <c r="AE4" i="3"/>
  <c r="T19" i="6"/>
  <c r="C142" i="6"/>
  <c r="C141" i="6"/>
  <c r="C145" i="6"/>
  <c r="I71" i="7"/>
  <c r="H5" i="7"/>
  <c r="B75"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L2" i="4"/>
  <c r="V241" i="4" l="1"/>
  <c r="U241" i="4"/>
  <c r="D82" i="4"/>
  <c r="D97" i="4"/>
  <c r="F97" i="4" s="1"/>
  <c r="D87" i="4"/>
  <c r="F87" i="4" s="1"/>
  <c r="O194" i="4"/>
  <c r="M196" i="4"/>
  <c r="F82" i="4"/>
  <c r="V166" i="4"/>
  <c r="X165" i="4"/>
  <c r="V126" i="4"/>
  <c r="X125" i="4"/>
  <c r="V251" i="4"/>
  <c r="D248" i="4" s="1"/>
  <c r="F248" i="4" s="1"/>
  <c r="X131" i="4"/>
  <c r="W131" i="4"/>
  <c r="V110" i="4"/>
  <c r="T111" i="4"/>
  <c r="D102" i="4"/>
  <c r="F102" i="4" s="1"/>
  <c r="E126" i="6"/>
  <c r="D127" i="6"/>
  <c r="W121" i="4"/>
  <c r="X121" i="4"/>
  <c r="W225" i="4"/>
  <c r="U226" i="4"/>
  <c r="X256" i="4"/>
  <c r="W256" i="4"/>
  <c r="D253" i="4" s="1"/>
  <c r="T201" i="4"/>
  <c r="V200" i="4"/>
  <c r="W215" i="4"/>
  <c r="U216" i="4"/>
  <c r="T236" i="4"/>
  <c r="V235" i="4"/>
  <c r="X241" i="4"/>
  <c r="W241" i="4"/>
  <c r="D238" i="4" s="1"/>
  <c r="U191" i="4"/>
  <c r="W190" i="4"/>
  <c r="N12" i="6"/>
  <c r="N14" i="6"/>
  <c r="D157" i="6"/>
  <c r="D137" i="6"/>
  <c r="W4" i="3"/>
  <c r="D139" i="6"/>
  <c r="D133" i="6"/>
  <c r="E133" i="6" s="1"/>
  <c r="D156" i="6"/>
  <c r="D135" i="6"/>
  <c r="E135" i="6" s="1"/>
  <c r="E52" i="7"/>
  <c r="D140" i="6"/>
  <c r="E30" i="6"/>
  <c r="E28" i="6" s="1"/>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49" i="1"/>
  <c r="R27"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D3" i="4"/>
  <c r="V4" i="4"/>
  <c r="M4" i="4"/>
  <c r="F2" i="4"/>
  <c r="K4" i="4"/>
  <c r="U3" i="4"/>
  <c r="V2" i="4"/>
  <c r="J4" i="4"/>
  <c r="L3" i="4"/>
  <c r="H2" i="4"/>
  <c r="P3" i="4"/>
  <c r="X4" i="4"/>
  <c r="K3" i="4"/>
  <c r="L4" i="4"/>
  <c r="D2" i="4"/>
  <c r="S3" i="4"/>
  <c r="N3" i="4"/>
  <c r="J3" i="4"/>
  <c r="T4" i="4"/>
  <c r="H4" i="4"/>
  <c r="C3" i="4"/>
  <c r="O4" i="4"/>
  <c r="O3" i="4"/>
  <c r="H3" i="4"/>
  <c r="V3" i="4"/>
  <c r="F4" i="4"/>
  <c r="N2" i="4"/>
  <c r="X2" i="4"/>
  <c r="B3" i="4"/>
  <c r="W4" i="4"/>
  <c r="F3" i="4"/>
  <c r="S4" i="4"/>
  <c r="Y3" i="4"/>
  <c r="Z2" i="4"/>
  <c r="P4" i="4"/>
  <c r="T2" i="4"/>
  <c r="G4" i="4"/>
  <c r="G3" i="4"/>
  <c r="P2" i="4"/>
  <c r="R3" i="4"/>
  <c r="Q4" i="4"/>
  <c r="W3" i="4"/>
  <c r="Y4" i="4"/>
  <c r="C4" i="4"/>
  <c r="E3" i="4"/>
  <c r="Q3" i="4"/>
  <c r="R4" i="4"/>
  <c r="T3" i="4"/>
  <c r="R2" i="4"/>
  <c r="E4" i="4"/>
  <c r="X3" i="4"/>
  <c r="N4" i="4"/>
  <c r="I4" i="4"/>
  <c r="J2" i="4"/>
  <c r="D4" i="4"/>
  <c r="M3" i="4"/>
  <c r="U4" i="4"/>
  <c r="I3" i="4"/>
  <c r="B4" i="4"/>
  <c r="A5" i="3" l="1"/>
  <c r="B5" i="3" s="1"/>
  <c r="Z5" i="3" s="1"/>
  <c r="N13" i="6"/>
  <c r="C210" i="6"/>
  <c r="C205" i="6"/>
  <c r="C209" i="6"/>
  <c r="C207" i="6"/>
  <c r="C206" i="6"/>
  <c r="C208" i="6"/>
  <c r="D128" i="4"/>
  <c r="N196" i="4"/>
  <c r="P194" i="4"/>
  <c r="A6" i="3"/>
  <c r="B6" i="3" s="1"/>
  <c r="AC6" i="3" s="1"/>
  <c r="F106" i="1"/>
  <c r="F105" i="1"/>
  <c r="F104" i="1"/>
  <c r="H18" i="7"/>
  <c r="F107" i="1"/>
  <c r="F103" i="1"/>
  <c r="E101" i="7"/>
  <c r="C171" i="6"/>
  <c r="C170" i="6"/>
  <c r="E49" i="7"/>
  <c r="E18" i="7"/>
  <c r="T13" i="6"/>
  <c r="T12" i="6"/>
  <c r="C174" i="6"/>
  <c r="M13" i="6"/>
  <c r="D171" i="6"/>
  <c r="B48" i="8"/>
  <c r="C48" i="8" s="1"/>
  <c r="D174" i="6"/>
  <c r="B43" i="8"/>
  <c r="C43" i="8" s="1"/>
  <c r="B49" i="8"/>
  <c r="C49" i="8" s="1"/>
  <c r="B41" i="8"/>
  <c r="C41" i="8" s="1"/>
  <c r="B42" i="8"/>
  <c r="C42" i="8" s="1"/>
  <c r="B44" i="8"/>
  <c r="C44" i="8" s="1"/>
  <c r="D172" i="6"/>
  <c r="D170" i="6"/>
  <c r="D173" i="6"/>
  <c r="B46" i="8"/>
  <c r="C46" i="8" s="1"/>
  <c r="B47" i="8"/>
  <c r="C47" i="8" s="1"/>
  <c r="B45" i="8"/>
  <c r="C45" i="8" s="1"/>
  <c r="D57" i="8"/>
  <c r="E57" i="8" s="1"/>
  <c r="G57" i="8" s="1"/>
  <c r="D66" i="8"/>
  <c r="F66" i="8" s="1"/>
  <c r="I66" i="8" s="1"/>
  <c r="D59" i="8"/>
  <c r="F59" i="8" s="1"/>
  <c r="I59" i="8" s="1"/>
  <c r="D47" i="8"/>
  <c r="E47" i="8" s="1"/>
  <c r="G47" i="8" s="1"/>
  <c r="D51" i="8"/>
  <c r="E51" i="8" s="1"/>
  <c r="G51" i="8" s="1"/>
  <c r="M14" i="6"/>
  <c r="C10" i="1" s="1"/>
  <c r="S4" i="3" s="1"/>
  <c r="T4" i="3" s="1"/>
  <c r="U4" i="3" s="1"/>
  <c r="M12" i="6"/>
  <c r="D52" i="8"/>
  <c r="E52" i="8" s="1"/>
  <c r="D63" i="8"/>
  <c r="E63" i="8" s="1"/>
  <c r="D64" i="8"/>
  <c r="E64" i="8" s="1"/>
  <c r="H64" i="8" s="1"/>
  <c r="D53" i="8"/>
  <c r="F53" i="8" s="1"/>
  <c r="I53" i="8" s="1"/>
  <c r="D62" i="8"/>
  <c r="E62" i="8" s="1"/>
  <c r="G62" i="8" s="1"/>
  <c r="D42" i="8"/>
  <c r="E42" i="8" s="1"/>
  <c r="G42" i="8" s="1"/>
  <c r="D65" i="8"/>
  <c r="E65" i="8" s="1"/>
  <c r="H65" i="8" s="1"/>
  <c r="D56" i="8"/>
  <c r="F56" i="8" s="1"/>
  <c r="I56" i="8" s="1"/>
  <c r="D67" i="8"/>
  <c r="F67" i="8" s="1"/>
  <c r="I67" i="8" s="1"/>
  <c r="D55" i="8"/>
  <c r="E55" i="8" s="1"/>
  <c r="H55" i="8" s="1"/>
  <c r="D44" i="8"/>
  <c r="F44" i="8" s="1"/>
  <c r="D60" i="8"/>
  <c r="F60" i="8" s="1"/>
  <c r="I60" i="8" s="1"/>
  <c r="D41" i="8"/>
  <c r="E41" i="8" s="1"/>
  <c r="G41" i="8" s="1"/>
  <c r="D48" i="8"/>
  <c r="F48" i="8" s="1"/>
  <c r="D46" i="8"/>
  <c r="F46" i="8" s="1"/>
  <c r="D45" i="8"/>
  <c r="E45" i="8" s="1"/>
  <c r="G45" i="8" s="1"/>
  <c r="D43" i="8"/>
  <c r="E43" i="8" s="1"/>
  <c r="G43" i="8" s="1"/>
  <c r="D50" i="8"/>
  <c r="F50" i="8" s="1"/>
  <c r="I50" i="8" s="1"/>
  <c r="D61" i="8"/>
  <c r="E61" i="8" s="1"/>
  <c r="G61" i="8" s="1"/>
  <c r="D54" i="8"/>
  <c r="F54" i="8" s="1"/>
  <c r="I54" i="8" s="1"/>
  <c r="D58" i="8"/>
  <c r="E58" i="8" s="1"/>
  <c r="H58" i="8" s="1"/>
  <c r="D49" i="8"/>
  <c r="E49" i="8" s="1"/>
  <c r="G49" i="8" s="1"/>
  <c r="W166" i="4"/>
  <c r="D163" i="4" s="1"/>
  <c r="F163" i="4" s="1"/>
  <c r="X166" i="4"/>
  <c r="N15" i="6"/>
  <c r="C150" i="6" s="1"/>
  <c r="E127" i="6"/>
  <c r="D128" i="6"/>
  <c r="W110" i="4"/>
  <c r="U111" i="4"/>
  <c r="X126" i="4"/>
  <c r="W126" i="4"/>
  <c r="D118" i="4"/>
  <c r="F118" i="4" s="1"/>
  <c r="F42" i="8"/>
  <c r="I42" i="8" s="1"/>
  <c r="C24" i="1"/>
  <c r="C30" i="1" s="1"/>
  <c r="I41" i="7"/>
  <c r="E110" i="7"/>
  <c r="W235" i="4"/>
  <c r="U236" i="4"/>
  <c r="W200" i="4"/>
  <c r="U201" i="4"/>
  <c r="X215" i="4"/>
  <c r="V216" i="4"/>
  <c r="V226" i="4"/>
  <c r="X225" i="4"/>
  <c r="X190" i="4"/>
  <c r="V191" i="4"/>
  <c r="F52" i="8"/>
  <c r="I52" i="8" s="1"/>
  <c r="AD5" i="3"/>
  <c r="AA5" i="3"/>
  <c r="E50" i="8"/>
  <c r="H50" i="8" s="1"/>
  <c r="F63" i="8"/>
  <c r="I63" i="8" s="1"/>
  <c r="E53" i="8"/>
  <c r="H53" i="8" s="1"/>
  <c r="P5" i="3"/>
  <c r="Q5" i="3" s="1"/>
  <c r="R5" i="3" s="1"/>
  <c r="AC5" i="3"/>
  <c r="I31" i="6"/>
  <c r="C154" i="6" s="1"/>
  <c r="O19" i="6"/>
  <c r="M19" i="6" s="1"/>
  <c r="H31" i="6" s="1"/>
  <c r="E29" i="6"/>
  <c r="E35" i="6" s="1"/>
  <c r="C191" i="6"/>
  <c r="D153" i="6"/>
  <c r="C192" i="6"/>
  <c r="G55" i="8"/>
  <c r="H52" i="8"/>
  <c r="G52" i="8"/>
  <c r="G63" i="8"/>
  <c r="H63" i="8"/>
  <c r="H57" i="8"/>
  <c r="H42" i="8" l="1"/>
  <c r="J42" i="8" s="1"/>
  <c r="G64" i="8"/>
  <c r="H62" i="8"/>
  <c r="G58" i="8"/>
  <c r="J58" i="8" s="1"/>
  <c r="I44" i="8"/>
  <c r="I46" i="8"/>
  <c r="H43" i="8"/>
  <c r="J43" i="8" s="1"/>
  <c r="S5" i="3"/>
  <c r="F64" i="8"/>
  <c r="I64" i="8" s="1"/>
  <c r="E66" i="8"/>
  <c r="H66" i="8" s="1"/>
  <c r="F62" i="8"/>
  <c r="I62" i="8" s="1"/>
  <c r="H61" i="8"/>
  <c r="K61" i="8" s="1"/>
  <c r="F61" i="8"/>
  <c r="I61" i="8" s="1"/>
  <c r="C11" i="8"/>
  <c r="E44" i="8"/>
  <c r="G44" i="8" s="1"/>
  <c r="F107" i="7"/>
  <c r="H51" i="8"/>
  <c r="J51" i="8" s="1"/>
  <c r="F55" i="8"/>
  <c r="I55" i="8" s="1"/>
  <c r="E58" i="7"/>
  <c r="H65" i="7" s="1"/>
  <c r="F49" i="8"/>
  <c r="I49" i="8" s="1"/>
  <c r="I48" i="8"/>
  <c r="H41" i="8"/>
  <c r="J41" i="8" s="1"/>
  <c r="E46" i="8"/>
  <c r="G46" i="8" s="1"/>
  <c r="C204" i="6"/>
  <c r="J41" i="7"/>
  <c r="D123" i="4"/>
  <c r="Q194" i="4"/>
  <c r="O196" i="4"/>
  <c r="F51" i="8"/>
  <c r="I51" i="8" s="1"/>
  <c r="H47" i="8"/>
  <c r="J47" i="8" s="1"/>
  <c r="F65" i="8"/>
  <c r="I65" i="8" s="1"/>
  <c r="I42" i="7"/>
  <c r="M15" i="6"/>
  <c r="J42" i="7" s="1"/>
  <c r="G65" i="8"/>
  <c r="J65" i="8" s="1"/>
  <c r="F57" i="8"/>
  <c r="I57" i="8" s="1"/>
  <c r="F47" i="8"/>
  <c r="I47" i="8" s="1"/>
  <c r="E48" i="8"/>
  <c r="G48" i="8" s="1"/>
  <c r="E67" i="8"/>
  <c r="H67" i="8" s="1"/>
  <c r="Z6" i="3"/>
  <c r="H45" i="8"/>
  <c r="J45" i="8" s="1"/>
  <c r="H49" i="8"/>
  <c r="J49" i="8" s="1"/>
  <c r="F58" i="8"/>
  <c r="I58" i="8" s="1"/>
  <c r="I29" i="6"/>
  <c r="I47" i="7" s="1"/>
  <c r="F43" i="8"/>
  <c r="I43" i="8" s="1"/>
  <c r="F41" i="8"/>
  <c r="I41" i="8" s="1"/>
  <c r="E60" i="8"/>
  <c r="H60" i="8" s="1"/>
  <c r="E59" i="8"/>
  <c r="G59" i="8" s="1"/>
  <c r="AD6" i="3"/>
  <c r="A7" i="3"/>
  <c r="B7" i="3" s="1"/>
  <c r="AA7" i="3" s="1"/>
  <c r="P6" i="3"/>
  <c r="Q6" i="3" s="1"/>
  <c r="R6" i="3" s="1"/>
  <c r="F45" i="8"/>
  <c r="I45" i="8" s="1"/>
  <c r="E54" i="8"/>
  <c r="H54" i="8" s="1"/>
  <c r="E56" i="8"/>
  <c r="G56" i="8" s="1"/>
  <c r="AA6" i="3"/>
  <c r="V111" i="4"/>
  <c r="X110" i="4"/>
  <c r="E128" i="6"/>
  <c r="D129" i="6"/>
  <c r="H71" i="7"/>
  <c r="G66" i="8"/>
  <c r="J66" i="8" s="1"/>
  <c r="G53" i="8"/>
  <c r="K53" i="8" s="1"/>
  <c r="M53" i="8" s="1"/>
  <c r="G50" i="8"/>
  <c r="J50" i="8" s="1"/>
  <c r="X200" i="4"/>
  <c r="V201" i="4"/>
  <c r="W226" i="4"/>
  <c r="X226" i="4"/>
  <c r="X191" i="4"/>
  <c r="W191" i="4"/>
  <c r="W216" i="4"/>
  <c r="X216" i="4"/>
  <c r="V236" i="4"/>
  <c r="X235" i="4"/>
  <c r="B192" i="6"/>
  <c r="H28" i="6"/>
  <c r="C190" i="6" s="1"/>
  <c r="C153" i="6"/>
  <c r="B193" i="6"/>
  <c r="I32" i="6"/>
  <c r="K42" i="8"/>
  <c r="M42" i="8" s="1"/>
  <c r="K63" i="8"/>
  <c r="M63" i="8" s="1"/>
  <c r="K55" i="8"/>
  <c r="C157" i="6"/>
  <c r="C151" i="6"/>
  <c r="C152" i="6"/>
  <c r="K52" i="8"/>
  <c r="M52" i="8" s="1"/>
  <c r="J64" i="8"/>
  <c r="K57" i="8"/>
  <c r="J62" i="8"/>
  <c r="T5" i="3"/>
  <c r="H16" i="7"/>
  <c r="K47" i="1"/>
  <c r="P27" i="1"/>
  <c r="H68" i="7"/>
  <c r="P28" i="1"/>
  <c r="K64" i="8"/>
  <c r="M64" i="8" s="1"/>
  <c r="J57" i="8"/>
  <c r="J61" i="8"/>
  <c r="J55" i="8"/>
  <c r="K62" i="8"/>
  <c r="J63" i="8"/>
  <c r="J52" i="8"/>
  <c r="M62" i="8" l="1"/>
  <c r="K58" i="8"/>
  <c r="K43" i="8"/>
  <c r="M43" i="8" s="1"/>
  <c r="S6" i="3"/>
  <c r="M55" i="8"/>
  <c r="H44" i="8"/>
  <c r="J44" i="8" s="1"/>
  <c r="K51" i="8"/>
  <c r="L51" i="8" s="1"/>
  <c r="M61" i="8"/>
  <c r="H46" i="8"/>
  <c r="J46" i="8" s="1"/>
  <c r="K49" i="8"/>
  <c r="M49" i="8" s="1"/>
  <c r="G54" i="8"/>
  <c r="J54" i="8" s="1"/>
  <c r="I30" i="6"/>
  <c r="I15" i="7" s="1"/>
  <c r="I14" i="7"/>
  <c r="K47" i="8"/>
  <c r="L47" i="8" s="1"/>
  <c r="K41" i="8"/>
  <c r="M41" i="8" s="1"/>
  <c r="C149" i="6"/>
  <c r="AC7" i="3"/>
  <c r="AD7" i="3"/>
  <c r="Z7" i="3"/>
  <c r="K65" i="8"/>
  <c r="M65" i="8" s="1"/>
  <c r="A8" i="3"/>
  <c r="B8" i="3" s="1"/>
  <c r="Z8" i="3" s="1"/>
  <c r="F108" i="7"/>
  <c r="P7" i="3"/>
  <c r="Q7" i="3" s="1"/>
  <c r="R7" i="3" s="1"/>
  <c r="S7" i="3" s="1"/>
  <c r="H32" i="6"/>
  <c r="B191" i="6"/>
  <c r="M57" i="8"/>
  <c r="H56" i="8"/>
  <c r="J56" i="8" s="1"/>
  <c r="G67" i="8"/>
  <c r="H48" i="8"/>
  <c r="J48" i="8" s="1"/>
  <c r="K45" i="8"/>
  <c r="M45" i="8" s="1"/>
  <c r="D213" i="4"/>
  <c r="F213" i="4" s="1"/>
  <c r="C194" i="6"/>
  <c r="H46" i="7"/>
  <c r="D152" i="6"/>
  <c r="H29" i="6"/>
  <c r="H47" i="7" s="1"/>
  <c r="R194" i="4"/>
  <c r="P196" i="4"/>
  <c r="H13" i="7"/>
  <c r="C155" i="6"/>
  <c r="C156" i="6" s="1"/>
  <c r="M58" i="8"/>
  <c r="G60" i="8"/>
  <c r="J60" i="8" s="1"/>
  <c r="H59" i="8"/>
  <c r="J59" i="8" s="1"/>
  <c r="K50" i="8"/>
  <c r="M50" i="8" s="1"/>
  <c r="D223" i="4"/>
  <c r="F223" i="4" s="1"/>
  <c r="X111" i="4"/>
  <c r="W111" i="4"/>
  <c r="D108" i="4" s="1"/>
  <c r="D188" i="4"/>
  <c r="F188" i="4" s="1"/>
  <c r="D130" i="6"/>
  <c r="E130" i="6" s="1"/>
  <c r="E129" i="6"/>
  <c r="S28" i="6"/>
  <c r="C193" i="6"/>
  <c r="J53" i="8"/>
  <c r="L53" i="8" s="1"/>
  <c r="K66" i="8"/>
  <c r="M66" i="8" s="1"/>
  <c r="X236" i="4"/>
  <c r="W236" i="4"/>
  <c r="W201" i="4"/>
  <c r="X201" i="4"/>
  <c r="D198" i="4" s="1"/>
  <c r="F198" i="4" s="1"/>
  <c r="L52" i="8"/>
  <c r="L49" i="8"/>
  <c r="L61" i="8"/>
  <c r="L55" i="8"/>
  <c r="L63" i="8"/>
  <c r="L42" i="8"/>
  <c r="L58" i="8"/>
  <c r="L57" i="8"/>
  <c r="D5" i="3"/>
  <c r="AG5" i="3"/>
  <c r="AH5" i="3"/>
  <c r="E5" i="3"/>
  <c r="H5" i="3" s="1"/>
  <c r="L62" i="8"/>
  <c r="L64" i="8"/>
  <c r="T6" i="3"/>
  <c r="L43" i="8"/>
  <c r="K44" i="8" l="1"/>
  <c r="M44" i="8" s="1"/>
  <c r="K46" i="8"/>
  <c r="M46" i="8" s="1"/>
  <c r="M51" i="8"/>
  <c r="M47" i="8"/>
  <c r="I48" i="7"/>
  <c r="K54" i="8"/>
  <c r="M54" i="8" s="1"/>
  <c r="S29" i="6"/>
  <c r="H14" i="7"/>
  <c r="L65" i="8"/>
  <c r="AA8" i="3"/>
  <c r="P8" i="3"/>
  <c r="Q8" i="3" s="1"/>
  <c r="R8" i="3" s="1"/>
  <c r="S8" i="3" s="1"/>
  <c r="A9" i="3"/>
  <c r="B9" i="3" s="1"/>
  <c r="A10" i="3" s="1"/>
  <c r="B10" i="3" s="1"/>
  <c r="AD8" i="3"/>
  <c r="AC8" i="3"/>
  <c r="L41" i="8"/>
  <c r="K56" i="8"/>
  <c r="M56" i="8" s="1"/>
  <c r="K60" i="8"/>
  <c r="M60" i="8" s="1"/>
  <c r="L45" i="8"/>
  <c r="K48" i="8"/>
  <c r="L48" i="8" s="1"/>
  <c r="B194" i="6"/>
  <c r="B190" i="6"/>
  <c r="L50" i="8"/>
  <c r="H30" i="6"/>
  <c r="H48" i="7" s="1"/>
  <c r="S194" i="4"/>
  <c r="Q196" i="4"/>
  <c r="J67" i="8"/>
  <c r="K67" i="8"/>
  <c r="M67" i="8" s="1"/>
  <c r="K59" i="8"/>
  <c r="M59" i="8" s="1"/>
  <c r="F108" i="4"/>
  <c r="L44" i="8"/>
  <c r="L46" i="8"/>
  <c r="L66" i="8"/>
  <c r="D233" i="4"/>
  <c r="F233" i="4" s="1"/>
  <c r="T7" i="3"/>
  <c r="K5" i="3"/>
  <c r="F5" i="3"/>
  <c r="G5" i="3"/>
  <c r="H33" i="6" l="1"/>
  <c r="AC9" i="3"/>
  <c r="P9" i="3"/>
  <c r="Q9" i="3" s="1"/>
  <c r="R9" i="3" s="1"/>
  <c r="S9" i="3" s="1"/>
  <c r="L54" i="8"/>
  <c r="L56" i="8"/>
  <c r="AD9" i="3"/>
  <c r="Z9" i="3"/>
  <c r="AA9" i="3"/>
  <c r="L67" i="8"/>
  <c r="S30" i="6"/>
  <c r="H15" i="7"/>
  <c r="M48" i="8"/>
  <c r="L60" i="8"/>
  <c r="T194" i="4"/>
  <c r="R196" i="4"/>
  <c r="L59" i="8"/>
  <c r="AC10" i="3"/>
  <c r="AA10" i="3"/>
  <c r="Z10" i="3"/>
  <c r="A11" i="3"/>
  <c r="B11" i="3" s="1"/>
  <c r="AD10" i="3"/>
  <c r="P10" i="3"/>
  <c r="Q10" i="3" s="1"/>
  <c r="R10" i="3" s="1"/>
  <c r="T8" i="3"/>
  <c r="M5" i="3"/>
  <c r="N5" i="3" s="1"/>
  <c r="I5" i="3"/>
  <c r="J5" i="3"/>
  <c r="V5" i="3"/>
  <c r="AE5" i="3"/>
  <c r="U194" i="4" l="1"/>
  <c r="S196" i="4"/>
  <c r="W5" i="3"/>
  <c r="AC11" i="3"/>
  <c r="AA11" i="3"/>
  <c r="P11" i="3"/>
  <c r="Q11" i="3" s="1"/>
  <c r="R11" i="3" s="1"/>
  <c r="Z11" i="3"/>
  <c r="A12" i="3"/>
  <c r="B12" i="3" s="1"/>
  <c r="AD11" i="3"/>
  <c r="L5" i="3"/>
  <c r="S10" i="3"/>
  <c r="T9" i="3"/>
  <c r="T196" i="4" l="1"/>
  <c r="V194" i="4"/>
  <c r="A13" i="3"/>
  <c r="B13" i="3" s="1"/>
  <c r="Z12" i="3"/>
  <c r="P12" i="3"/>
  <c r="Q12" i="3" s="1"/>
  <c r="R12" i="3" s="1"/>
  <c r="AD12" i="3"/>
  <c r="AA12" i="3"/>
  <c r="AC12" i="3"/>
  <c r="U5" i="3"/>
  <c r="D6" i="3" s="1"/>
  <c r="AG6" i="3"/>
  <c r="AH6" i="3"/>
  <c r="T10" i="3"/>
  <c r="S11" i="3"/>
  <c r="U196" i="4" l="1"/>
  <c r="W194" i="4"/>
  <c r="E6" i="3"/>
  <c r="H6" i="3" s="1"/>
  <c r="K6" i="3" s="1"/>
  <c r="G6" i="3"/>
  <c r="T11" i="3"/>
  <c r="S12" i="3"/>
  <c r="P13" i="3"/>
  <c r="Q13" i="3" s="1"/>
  <c r="R13" i="3" s="1"/>
  <c r="A14" i="3"/>
  <c r="B14" i="3" s="1"/>
  <c r="AC13" i="3"/>
  <c r="AD13" i="3"/>
  <c r="AA13" i="3"/>
  <c r="Z13" i="3"/>
  <c r="V196" i="4" l="1"/>
  <c r="D193" i="4" s="1"/>
  <c r="W196" i="4"/>
  <c r="M36" i="6"/>
  <c r="N34" i="1"/>
  <c r="F193" i="4"/>
  <c r="F6" i="3"/>
  <c r="S13" i="3"/>
  <c r="T12" i="3"/>
  <c r="I6" i="3"/>
  <c r="J6" i="3"/>
  <c r="M6" i="3"/>
  <c r="N6" i="3" s="1"/>
  <c r="A15" i="3"/>
  <c r="B15" i="3" s="1"/>
  <c r="P14" i="3"/>
  <c r="Q14" i="3" s="1"/>
  <c r="R14" i="3" s="1"/>
  <c r="AD14" i="3"/>
  <c r="AA14" i="3"/>
  <c r="Z14" i="3"/>
  <c r="AC14" i="3"/>
  <c r="V6" i="3"/>
  <c r="AE6" i="3"/>
  <c r="W6" i="3" l="1"/>
  <c r="AA15" i="3"/>
  <c r="P15" i="3"/>
  <c r="Q15" i="3" s="1"/>
  <c r="R15" i="3" s="1"/>
  <c r="AC15" i="3"/>
  <c r="Z15" i="3"/>
  <c r="AD15" i="3"/>
  <c r="A16" i="3"/>
  <c r="B16" i="3" s="1"/>
  <c r="L6" i="3"/>
  <c r="S14" i="3"/>
  <c r="T13" i="3"/>
  <c r="S15" i="3" l="1"/>
  <c r="T14" i="3"/>
  <c r="AA16" i="3"/>
  <c r="AD16" i="3"/>
  <c r="AC16" i="3"/>
  <c r="P16" i="3"/>
  <c r="Q16" i="3" s="1"/>
  <c r="R16" i="3" s="1"/>
  <c r="Z16" i="3"/>
  <c r="A17" i="3"/>
  <c r="B17" i="3" s="1"/>
  <c r="AH7" i="3"/>
  <c r="AG7" i="3"/>
  <c r="U6" i="3"/>
  <c r="D7" i="3" s="1"/>
  <c r="Y5" i="3"/>
  <c r="G7" i="3" l="1"/>
  <c r="P17" i="3"/>
  <c r="Q17" i="3" s="1"/>
  <c r="R17" i="3" s="1"/>
  <c r="A18" i="3"/>
  <c r="B18" i="3" s="1"/>
  <c r="AC17" i="3"/>
  <c r="Z17" i="3"/>
  <c r="AD17" i="3"/>
  <c r="AA17" i="3"/>
  <c r="T15" i="3"/>
  <c r="S16" i="3"/>
  <c r="E7" i="3"/>
  <c r="H7" i="3" s="1"/>
  <c r="AA18" i="3" l="1"/>
  <c r="P18" i="3"/>
  <c r="Q18" i="3" s="1"/>
  <c r="R18" i="3" s="1"/>
  <c r="AC18" i="3"/>
  <c r="A19" i="3"/>
  <c r="B19" i="3" s="1"/>
  <c r="AD18" i="3"/>
  <c r="Z18" i="3"/>
  <c r="F7" i="3"/>
  <c r="T16" i="3"/>
  <c r="S17" i="3"/>
  <c r="I7" i="3"/>
  <c r="J7" i="3"/>
  <c r="M7" i="3"/>
  <c r="N7" i="3" s="1"/>
  <c r="K7" i="3"/>
  <c r="P19" i="3" l="1"/>
  <c r="Q19" i="3" s="1"/>
  <c r="R19" i="3" s="1"/>
  <c r="A20" i="3"/>
  <c r="B20" i="3" s="1"/>
  <c r="Z19" i="3"/>
  <c r="AD19" i="3"/>
  <c r="AA19" i="3"/>
  <c r="AC19" i="3"/>
  <c r="L7" i="3"/>
  <c r="V7" i="3"/>
  <c r="W7" i="3" s="1"/>
  <c r="AE7" i="3"/>
  <c r="T17" i="3"/>
  <c r="S18" i="3"/>
  <c r="AH8" i="3" l="1"/>
  <c r="U7" i="3"/>
  <c r="D8" i="3" s="1"/>
  <c r="AG8" i="3"/>
  <c r="Y6" i="3"/>
  <c r="P20" i="3"/>
  <c r="Q20" i="3" s="1"/>
  <c r="R20" i="3" s="1"/>
  <c r="A21" i="3"/>
  <c r="B21" i="3" s="1"/>
  <c r="AA20" i="3"/>
  <c r="Z20" i="3"/>
  <c r="AD20" i="3"/>
  <c r="AC20" i="3"/>
  <c r="S19" i="3"/>
  <c r="T18" i="3"/>
  <c r="E8" i="3" l="1"/>
  <c r="H8" i="3" s="1"/>
  <c r="K8" i="3" s="1"/>
  <c r="AD21" i="3"/>
  <c r="P21" i="3"/>
  <c r="Q21" i="3" s="1"/>
  <c r="R21" i="3" s="1"/>
  <c r="AC21" i="3"/>
  <c r="AA21" i="3"/>
  <c r="Z21" i="3"/>
  <c r="A22" i="3"/>
  <c r="B22" i="3" s="1"/>
  <c r="G8" i="3"/>
  <c r="S20" i="3"/>
  <c r="T19" i="3"/>
  <c r="F8" i="3" l="1"/>
  <c r="AC22" i="3"/>
  <c r="A23" i="3"/>
  <c r="B23" i="3" s="1"/>
  <c r="AD22" i="3"/>
  <c r="AA22" i="3"/>
  <c r="Z22" i="3"/>
  <c r="P22" i="3"/>
  <c r="Q22" i="3" s="1"/>
  <c r="R22" i="3" s="1"/>
  <c r="I8" i="3"/>
  <c r="J8" i="3"/>
  <c r="M8" i="3"/>
  <c r="N8" i="3" s="1"/>
  <c r="V8" i="3"/>
  <c r="AE8" i="3"/>
  <c r="T20" i="3"/>
  <c r="S21" i="3"/>
  <c r="W8" i="3" l="1"/>
  <c r="A24" i="3"/>
  <c r="B24" i="3" s="1"/>
  <c r="Z23" i="3"/>
  <c r="AA23" i="3"/>
  <c r="AC23" i="3"/>
  <c r="AD23" i="3"/>
  <c r="P23" i="3"/>
  <c r="Q23" i="3" s="1"/>
  <c r="R23" i="3" s="1"/>
  <c r="T21" i="3"/>
  <c r="S22" i="3"/>
  <c r="L8" i="3"/>
  <c r="U8" i="3" l="1"/>
  <c r="D9" i="3" s="1"/>
  <c r="AH9" i="3"/>
  <c r="AG9" i="3"/>
  <c r="Y7" i="3"/>
  <c r="AA24" i="3"/>
  <c r="Z24" i="3"/>
  <c r="AC24" i="3"/>
  <c r="AD24" i="3"/>
  <c r="A25" i="3"/>
  <c r="B25" i="3" s="1"/>
  <c r="P24" i="3"/>
  <c r="Q24" i="3" s="1"/>
  <c r="R24" i="3" s="1"/>
  <c r="T22" i="3"/>
  <c r="S23" i="3"/>
  <c r="E9" i="3" l="1"/>
  <c r="H9" i="3" s="1"/>
  <c r="K9" i="3" s="1"/>
  <c r="P25" i="3"/>
  <c r="Q25" i="3" s="1"/>
  <c r="R25" i="3" s="1"/>
  <c r="Z25" i="3"/>
  <c r="A26" i="3"/>
  <c r="B26" i="3" s="1"/>
  <c r="AC25" i="3"/>
  <c r="AA25" i="3"/>
  <c r="AD25" i="3"/>
  <c r="S24" i="3"/>
  <c r="T23" i="3"/>
  <c r="G9" i="3"/>
  <c r="F9" i="3" l="1"/>
  <c r="AD26" i="3"/>
  <c r="P26" i="3"/>
  <c r="Q26" i="3" s="1"/>
  <c r="R26" i="3" s="1"/>
  <c r="A27" i="3"/>
  <c r="B27" i="3" s="1"/>
  <c r="AA26" i="3"/>
  <c r="Z26" i="3"/>
  <c r="AC26" i="3"/>
  <c r="S25" i="3"/>
  <c r="T24" i="3"/>
  <c r="V9" i="3"/>
  <c r="AE9" i="3"/>
  <c r="I9" i="3"/>
  <c r="J9" i="3"/>
  <c r="M9" i="3"/>
  <c r="N9" i="3" s="1"/>
  <c r="W9" i="3" l="1"/>
  <c r="P27" i="3"/>
  <c r="Q27" i="3" s="1"/>
  <c r="R27" i="3" s="1"/>
  <c r="Z27" i="3"/>
  <c r="AA27" i="3"/>
  <c r="AD27" i="3"/>
  <c r="A28" i="3"/>
  <c r="B28" i="3" s="1"/>
  <c r="AC27" i="3"/>
  <c r="S26" i="3"/>
  <c r="T25" i="3"/>
  <c r="L9" i="3"/>
  <c r="Z28" i="3" l="1"/>
  <c r="P28" i="3"/>
  <c r="Q28" i="3" s="1"/>
  <c r="R28" i="3" s="1"/>
  <c r="A29" i="3"/>
  <c r="B29" i="3" s="1"/>
  <c r="AA28" i="3"/>
  <c r="AC28" i="3"/>
  <c r="AD28" i="3"/>
  <c r="AH10" i="3"/>
  <c r="U9" i="3"/>
  <c r="E10" i="3" s="1"/>
  <c r="H10" i="3" s="1"/>
  <c r="AG10" i="3"/>
  <c r="Y8" i="3"/>
  <c r="T26" i="3"/>
  <c r="S27" i="3"/>
  <c r="K10" i="3" l="1"/>
  <c r="S28" i="3"/>
  <c r="T27" i="3"/>
  <c r="AC29" i="3"/>
  <c r="P29" i="3"/>
  <c r="Q29" i="3" s="1"/>
  <c r="R29" i="3" s="1"/>
  <c r="A30" i="3"/>
  <c r="B30" i="3" s="1"/>
  <c r="AD29" i="3"/>
  <c r="Z29" i="3"/>
  <c r="AA29" i="3"/>
  <c r="D10" i="3"/>
  <c r="Z30" i="3" l="1"/>
  <c r="P30" i="3"/>
  <c r="Q30" i="3" s="1"/>
  <c r="R30" i="3" s="1"/>
  <c r="AC30" i="3"/>
  <c r="AA30" i="3"/>
  <c r="AD30" i="3"/>
  <c r="A31" i="3"/>
  <c r="B31" i="3" s="1"/>
  <c r="F10" i="3"/>
  <c r="G10" i="3"/>
  <c r="V10" i="3"/>
  <c r="AE10" i="3"/>
  <c r="T28" i="3"/>
  <c r="S29" i="3"/>
  <c r="I10" i="3" l="1"/>
  <c r="W10" i="3" s="1"/>
  <c r="J10" i="3"/>
  <c r="M10" i="3"/>
  <c r="N10" i="3" s="1"/>
  <c r="AC31" i="3"/>
  <c r="A32" i="3"/>
  <c r="B32" i="3" s="1"/>
  <c r="Z31" i="3"/>
  <c r="P31" i="3"/>
  <c r="Q31" i="3" s="1"/>
  <c r="R31" i="3" s="1"/>
  <c r="AD31" i="3"/>
  <c r="AA31" i="3"/>
  <c r="S30" i="3"/>
  <c r="T29" i="3"/>
  <c r="A33" i="3" l="1"/>
  <c r="B33" i="3" s="1"/>
  <c r="Z32" i="3"/>
  <c r="P32" i="3"/>
  <c r="Q32" i="3" s="1"/>
  <c r="R32" i="3" s="1"/>
  <c r="AD32" i="3"/>
  <c r="AC32" i="3"/>
  <c r="AA32" i="3"/>
  <c r="L10" i="3"/>
  <c r="T30" i="3"/>
  <c r="S31" i="3"/>
  <c r="P33" i="3" l="1"/>
  <c r="Q33" i="3" s="1"/>
  <c r="R33" i="3" s="1"/>
  <c r="AC33" i="3"/>
  <c r="A34" i="3"/>
  <c r="B34" i="3" s="1"/>
  <c r="AA33" i="3"/>
  <c r="Z33" i="3"/>
  <c r="AD33" i="3"/>
  <c r="AG11" i="3"/>
  <c r="AH11" i="3"/>
  <c r="U10" i="3"/>
  <c r="E11" i="3" s="1"/>
  <c r="H11" i="3" s="1"/>
  <c r="Y9" i="3"/>
  <c r="T31" i="3"/>
  <c r="S32" i="3"/>
  <c r="K11" i="3" l="1"/>
  <c r="T32" i="3"/>
  <c r="S33" i="3"/>
  <c r="Z34" i="3"/>
  <c r="P34" i="3"/>
  <c r="Q34" i="3" s="1"/>
  <c r="R34" i="3" s="1"/>
  <c r="AC34" i="3"/>
  <c r="AD34" i="3"/>
  <c r="A35" i="3"/>
  <c r="B35" i="3" s="1"/>
  <c r="AA34" i="3"/>
  <c r="D11" i="3"/>
  <c r="S34" i="3" l="1"/>
  <c r="T33" i="3"/>
  <c r="V11" i="3"/>
  <c r="AE11" i="3"/>
  <c r="A36" i="3"/>
  <c r="B36" i="3" s="1"/>
  <c r="Z35" i="3"/>
  <c r="AD35" i="3"/>
  <c r="AA35" i="3"/>
  <c r="AC35" i="3"/>
  <c r="P35" i="3"/>
  <c r="Q35" i="3" s="1"/>
  <c r="R35" i="3" s="1"/>
  <c r="F11" i="3"/>
  <c r="G11" i="3"/>
  <c r="S35" i="3" l="1"/>
  <c r="T34" i="3"/>
  <c r="AD36" i="3"/>
  <c r="AA36" i="3"/>
  <c r="P36" i="3"/>
  <c r="Q36" i="3" s="1"/>
  <c r="R36" i="3" s="1"/>
  <c r="Z36" i="3"/>
  <c r="A37" i="3"/>
  <c r="B37" i="3" s="1"/>
  <c r="AC36" i="3"/>
  <c r="I11" i="3"/>
  <c r="W11" i="3" s="1"/>
  <c r="J11" i="3"/>
  <c r="M11" i="3"/>
  <c r="N11" i="3" s="1"/>
  <c r="AD37" i="3" l="1"/>
  <c r="Z37" i="3"/>
  <c r="AA37" i="3"/>
  <c r="AC37" i="3"/>
  <c r="P37" i="3"/>
  <c r="Q37" i="3" s="1"/>
  <c r="R37" i="3" s="1"/>
  <c r="A38" i="3"/>
  <c r="B38" i="3" s="1"/>
  <c r="L11" i="3"/>
  <c r="T35" i="3"/>
  <c r="S36" i="3"/>
  <c r="P38" i="3" l="1"/>
  <c r="Q38" i="3" s="1"/>
  <c r="R38" i="3" s="1"/>
  <c r="A39" i="3"/>
  <c r="B39" i="3" s="1"/>
  <c r="AC38" i="3"/>
  <c r="AA38" i="3"/>
  <c r="AD38" i="3"/>
  <c r="Z38" i="3"/>
  <c r="AH12" i="3"/>
  <c r="U11" i="3"/>
  <c r="E12" i="3" s="1"/>
  <c r="H12" i="3" s="1"/>
  <c r="AG12" i="3"/>
  <c r="Y10" i="3"/>
  <c r="T36" i="3"/>
  <c r="S37" i="3"/>
  <c r="D12" i="3" l="1"/>
  <c r="G12" i="3" s="1"/>
  <c r="S38" i="3"/>
  <c r="T37" i="3"/>
  <c r="K12" i="3"/>
  <c r="AC39" i="3"/>
  <c r="P39" i="3"/>
  <c r="Q39" i="3" s="1"/>
  <c r="R39" i="3" s="1"/>
  <c r="AD39" i="3"/>
  <c r="Z39" i="3"/>
  <c r="A40" i="3"/>
  <c r="B40" i="3" s="1"/>
  <c r="AA39" i="3"/>
  <c r="F12" i="3" l="1"/>
  <c r="P40" i="3"/>
  <c r="Q40" i="3" s="1"/>
  <c r="R40" i="3" s="1"/>
  <c r="AA40" i="3"/>
  <c r="A41" i="3"/>
  <c r="B41" i="3" s="1"/>
  <c r="AC40" i="3"/>
  <c r="Z40" i="3"/>
  <c r="AD40" i="3"/>
  <c r="V12" i="3"/>
  <c r="AE12" i="3"/>
  <c r="S39" i="3"/>
  <c r="T38" i="3"/>
  <c r="I12" i="3"/>
  <c r="J12" i="3"/>
  <c r="M12" i="3"/>
  <c r="N12" i="3" s="1"/>
  <c r="W12" i="3" l="1"/>
  <c r="P41" i="3"/>
  <c r="Q41" i="3" s="1"/>
  <c r="R41" i="3" s="1"/>
  <c r="AC41" i="3"/>
  <c r="A42" i="3"/>
  <c r="B42" i="3" s="1"/>
  <c r="AA41" i="3"/>
  <c r="Z41" i="3"/>
  <c r="AD41" i="3"/>
  <c r="L12" i="3"/>
  <c r="T39" i="3"/>
  <c r="S40" i="3"/>
  <c r="AG13" i="3" l="1"/>
  <c r="U12" i="3"/>
  <c r="E13" i="3" s="1"/>
  <c r="H13" i="3" s="1"/>
  <c r="AH13" i="3"/>
  <c r="Y11" i="3"/>
  <c r="P42" i="3"/>
  <c r="Q42" i="3" s="1"/>
  <c r="R42" i="3" s="1"/>
  <c r="Z42" i="3"/>
  <c r="AA42" i="3"/>
  <c r="A43" i="3"/>
  <c r="B43" i="3" s="1"/>
  <c r="AD42" i="3"/>
  <c r="AC42" i="3"/>
  <c r="S41" i="3"/>
  <c r="T40" i="3"/>
  <c r="D13" i="3" l="1"/>
  <c r="F13" i="3" s="1"/>
  <c r="K13" i="3"/>
  <c r="AC43" i="3"/>
  <c r="P43" i="3"/>
  <c r="Q43" i="3" s="1"/>
  <c r="R43" i="3" s="1"/>
  <c r="AD43" i="3"/>
  <c r="Z43" i="3"/>
  <c r="A44" i="3"/>
  <c r="B44" i="3" s="1"/>
  <c r="AA43" i="3"/>
  <c r="T41" i="3"/>
  <c r="S42" i="3"/>
  <c r="G13" i="3" l="1"/>
  <c r="I13" i="3" s="1"/>
  <c r="AA44" i="3"/>
  <c r="P44" i="3"/>
  <c r="Q44" i="3" s="1"/>
  <c r="R44" i="3" s="1"/>
  <c r="AD44" i="3"/>
  <c r="A45" i="3"/>
  <c r="B45" i="3" s="1"/>
  <c r="Z44" i="3"/>
  <c r="AC44" i="3"/>
  <c r="T42" i="3"/>
  <c r="S43" i="3"/>
  <c r="V13" i="3"/>
  <c r="AE13" i="3"/>
  <c r="J13" i="3" l="1"/>
  <c r="L13" i="3" s="1"/>
  <c r="M13" i="3"/>
  <c r="N13" i="3" s="1"/>
  <c r="P45" i="3"/>
  <c r="Q45" i="3" s="1"/>
  <c r="R45" i="3" s="1"/>
  <c r="A46" i="3"/>
  <c r="B46" i="3" s="1"/>
  <c r="AA45" i="3"/>
  <c r="AD45" i="3"/>
  <c r="Z45" i="3"/>
  <c r="AC45" i="3"/>
  <c r="S44" i="3"/>
  <c r="T43" i="3"/>
  <c r="W13" i="3"/>
  <c r="P46" i="3" l="1"/>
  <c r="Q46" i="3" s="1"/>
  <c r="R46" i="3" s="1"/>
  <c r="AA46" i="3"/>
  <c r="AD46" i="3"/>
  <c r="A47" i="3"/>
  <c r="B47" i="3" s="1"/>
  <c r="Z46" i="3"/>
  <c r="AC46" i="3"/>
  <c r="S45" i="3"/>
  <c r="T44" i="3"/>
  <c r="AH14" i="3"/>
  <c r="AG14" i="3"/>
  <c r="U13" i="3"/>
  <c r="D14" i="3" s="1"/>
  <c r="Y12" i="3"/>
  <c r="E14" i="3" l="1"/>
  <c r="H14" i="3" s="1"/>
  <c r="K14" i="3" s="1"/>
  <c r="AD47" i="3"/>
  <c r="AA47" i="3"/>
  <c r="P47" i="3"/>
  <c r="Q47" i="3" s="1"/>
  <c r="R47" i="3" s="1"/>
  <c r="A48" i="3"/>
  <c r="B48" i="3" s="1"/>
  <c r="Z47" i="3"/>
  <c r="AC47" i="3"/>
  <c r="S46" i="3"/>
  <c r="T45" i="3"/>
  <c r="G14" i="3"/>
  <c r="F14" i="3" l="1"/>
  <c r="AC48" i="3"/>
  <c r="Z48" i="3"/>
  <c r="AA48" i="3"/>
  <c r="A49" i="3"/>
  <c r="B49" i="3" s="1"/>
  <c r="AD48" i="3"/>
  <c r="P48" i="3"/>
  <c r="Q48" i="3" s="1"/>
  <c r="R48" i="3" s="1"/>
  <c r="V14" i="3"/>
  <c r="AE14" i="3"/>
  <c r="I14" i="3"/>
  <c r="J14" i="3"/>
  <c r="M14" i="3"/>
  <c r="N14" i="3" s="1"/>
  <c r="S47" i="3"/>
  <c r="T46" i="3"/>
  <c r="T47" i="3" l="1"/>
  <c r="S48" i="3"/>
  <c r="A50" i="3"/>
  <c r="B50" i="3" s="1"/>
  <c r="P49" i="3"/>
  <c r="Q49" i="3" s="1"/>
  <c r="R49" i="3" s="1"/>
  <c r="AC49" i="3"/>
  <c r="AD49" i="3"/>
  <c r="AA49" i="3"/>
  <c r="Z49" i="3"/>
  <c r="W14" i="3"/>
  <c r="L14" i="3"/>
  <c r="U14" i="3" l="1"/>
  <c r="E15" i="3" s="1"/>
  <c r="H15" i="3" s="1"/>
  <c r="AG15" i="3"/>
  <c r="AH15" i="3"/>
  <c r="Y13" i="3"/>
  <c r="Z50" i="3"/>
  <c r="AA50" i="3"/>
  <c r="P50" i="3"/>
  <c r="Q50" i="3" s="1"/>
  <c r="R50" i="3" s="1"/>
  <c r="A51" i="3"/>
  <c r="B51" i="3" s="1"/>
  <c r="AD50" i="3"/>
  <c r="AC50" i="3"/>
  <c r="T48" i="3"/>
  <c r="S49" i="3"/>
  <c r="D15" i="3" l="1"/>
  <c r="F15" i="3" s="1"/>
  <c r="AD51" i="3"/>
  <c r="A52" i="3"/>
  <c r="B52" i="3" s="1"/>
  <c r="P51" i="3"/>
  <c r="Q51" i="3" s="1"/>
  <c r="R51" i="3" s="1"/>
  <c r="AA51" i="3"/>
  <c r="Z51" i="3"/>
  <c r="AC51" i="3"/>
  <c r="K15" i="3"/>
  <c r="S50" i="3"/>
  <c r="T49" i="3"/>
  <c r="G15" i="3" l="1"/>
  <c r="I15" i="3" s="1"/>
  <c r="A53" i="3"/>
  <c r="B53" i="3" s="1"/>
  <c r="AC52" i="3"/>
  <c r="P52" i="3"/>
  <c r="Q52" i="3" s="1"/>
  <c r="R52" i="3" s="1"/>
  <c r="AA52" i="3"/>
  <c r="AD52" i="3"/>
  <c r="Z52" i="3"/>
  <c r="T50" i="3"/>
  <c r="S51" i="3"/>
  <c r="V15" i="3"/>
  <c r="AE15" i="3"/>
  <c r="J15" i="3" l="1"/>
  <c r="L15" i="3" s="1"/>
  <c r="M15" i="3"/>
  <c r="N15" i="3" s="1"/>
  <c r="A54" i="3"/>
  <c r="B54" i="3" s="1"/>
  <c r="AD53" i="3"/>
  <c r="P53" i="3"/>
  <c r="Q53" i="3" s="1"/>
  <c r="R53" i="3" s="1"/>
  <c r="AA53" i="3"/>
  <c r="AC53" i="3"/>
  <c r="Z53" i="3"/>
  <c r="T51" i="3"/>
  <c r="S52" i="3"/>
  <c r="W15" i="3"/>
  <c r="AC54" i="3" l="1"/>
  <c r="P54" i="3"/>
  <c r="Q54" i="3" s="1"/>
  <c r="R54" i="3" s="1"/>
  <c r="A55" i="3"/>
  <c r="B55" i="3" s="1"/>
  <c r="AA54" i="3"/>
  <c r="Z54" i="3"/>
  <c r="AD54" i="3"/>
  <c r="T52" i="3"/>
  <c r="S53" i="3"/>
  <c r="U15" i="3"/>
  <c r="D16" i="3" s="1"/>
  <c r="AG16" i="3"/>
  <c r="AH16" i="3"/>
  <c r="Y14" i="3"/>
  <c r="E16" i="3" l="1"/>
  <c r="H16" i="3" s="1"/>
  <c r="K16" i="3" s="1"/>
  <c r="G16" i="3"/>
  <c r="S54" i="3"/>
  <c r="T53" i="3"/>
  <c r="P55" i="3"/>
  <c r="Q55" i="3" s="1"/>
  <c r="R55" i="3" s="1"/>
  <c r="A56" i="3"/>
  <c r="B56" i="3" s="1"/>
  <c r="AC55" i="3"/>
  <c r="AA55" i="3"/>
  <c r="Z55" i="3"/>
  <c r="AD55" i="3"/>
  <c r="F16" i="3" l="1"/>
  <c r="P56" i="3"/>
  <c r="Q56" i="3" s="1"/>
  <c r="R56" i="3" s="1"/>
  <c r="AA56" i="3"/>
  <c r="A57" i="3"/>
  <c r="B57" i="3" s="1"/>
  <c r="AD56" i="3"/>
  <c r="Z56" i="3"/>
  <c r="AC56" i="3"/>
  <c r="I16" i="3"/>
  <c r="J16" i="3"/>
  <c r="M16" i="3"/>
  <c r="N16" i="3" s="1"/>
  <c r="S55" i="3"/>
  <c r="T54" i="3"/>
  <c r="V16" i="3"/>
  <c r="AE16" i="3"/>
  <c r="S56" i="3" l="1"/>
  <c r="T55" i="3"/>
  <c r="AD57" i="3"/>
  <c r="AA57" i="3"/>
  <c r="A58" i="3"/>
  <c r="B58" i="3" s="1"/>
  <c r="AC57" i="3"/>
  <c r="P57" i="3"/>
  <c r="Q57" i="3" s="1"/>
  <c r="R57" i="3" s="1"/>
  <c r="Z57" i="3"/>
  <c r="L16" i="3"/>
  <c r="W16" i="3"/>
  <c r="Z58" i="3" l="1"/>
  <c r="AD58" i="3"/>
  <c r="AA58" i="3"/>
  <c r="P58" i="3"/>
  <c r="Q58" i="3" s="1"/>
  <c r="R58" i="3" s="1"/>
  <c r="A59" i="3"/>
  <c r="B59" i="3" s="1"/>
  <c r="AC58" i="3"/>
  <c r="S57" i="3"/>
  <c r="T56" i="3"/>
  <c r="U16" i="3"/>
  <c r="D17" i="3" s="1"/>
  <c r="AG17" i="3"/>
  <c r="AH17" i="3"/>
  <c r="Y15" i="3"/>
  <c r="G17" i="3" l="1"/>
  <c r="P59" i="3"/>
  <c r="Q59" i="3" s="1"/>
  <c r="R59" i="3" s="1"/>
  <c r="A60" i="3"/>
  <c r="B60" i="3" s="1"/>
  <c r="AC59" i="3"/>
  <c r="AD59" i="3"/>
  <c r="Z59" i="3"/>
  <c r="AA59" i="3"/>
  <c r="E17" i="3"/>
  <c r="H17" i="3" s="1"/>
  <c r="S58" i="3"/>
  <c r="T57" i="3"/>
  <c r="AC60" i="3" l="1"/>
  <c r="AD60" i="3"/>
  <c r="Z60" i="3"/>
  <c r="P60" i="3"/>
  <c r="Q60" i="3" s="1"/>
  <c r="R60" i="3" s="1"/>
  <c r="A61" i="3"/>
  <c r="B61" i="3" s="1"/>
  <c r="AA60" i="3"/>
  <c r="F17" i="3"/>
  <c r="I17" i="3"/>
  <c r="J17" i="3"/>
  <c r="M17" i="3"/>
  <c r="N17" i="3" s="1"/>
  <c r="K17" i="3"/>
  <c r="S59" i="3"/>
  <c r="T58" i="3"/>
  <c r="A62" i="3" l="1"/>
  <c r="B62" i="3" s="1"/>
  <c r="Z61" i="3"/>
  <c r="AD61" i="3"/>
  <c r="AC61" i="3"/>
  <c r="P61" i="3"/>
  <c r="Q61" i="3" s="1"/>
  <c r="R61" i="3" s="1"/>
  <c r="AA61" i="3"/>
  <c r="T59" i="3"/>
  <c r="S60" i="3"/>
  <c r="V17" i="3"/>
  <c r="W17" i="3" s="1"/>
  <c r="AE17" i="3"/>
  <c r="L17" i="3"/>
  <c r="AD62" i="3" l="1"/>
  <c r="P62" i="3"/>
  <c r="Q62" i="3" s="1"/>
  <c r="R62" i="3" s="1"/>
  <c r="Z62" i="3"/>
  <c r="AA62" i="3"/>
  <c r="AC62" i="3"/>
  <c r="A63" i="3"/>
  <c r="B63" i="3" s="1"/>
  <c r="S61" i="3"/>
  <c r="T60" i="3"/>
  <c r="U17" i="3"/>
  <c r="E18" i="3" s="1"/>
  <c r="H18" i="3" s="1"/>
  <c r="AG18" i="3"/>
  <c r="AH18" i="3"/>
  <c r="Y16" i="3"/>
  <c r="D18" i="3" l="1"/>
  <c r="G18" i="3" s="1"/>
  <c r="K18" i="3"/>
  <c r="AC63" i="3"/>
  <c r="AA63" i="3"/>
  <c r="A64" i="3"/>
  <c r="B64" i="3" s="1"/>
  <c r="AD63" i="3"/>
  <c r="P63" i="3"/>
  <c r="Q63" i="3" s="1"/>
  <c r="R63" i="3" s="1"/>
  <c r="Z63" i="3"/>
  <c r="S62" i="3"/>
  <c r="T61" i="3"/>
  <c r="F18" i="3" l="1"/>
  <c r="I18" i="3"/>
  <c r="J18" i="3"/>
  <c r="M18" i="3"/>
  <c r="N18" i="3" s="1"/>
  <c r="S63" i="3"/>
  <c r="T62" i="3"/>
  <c r="A65" i="3"/>
  <c r="B65" i="3" s="1"/>
  <c r="Z64" i="3"/>
  <c r="AA64" i="3"/>
  <c r="AC64" i="3"/>
  <c r="AD64" i="3"/>
  <c r="P64" i="3"/>
  <c r="Q64" i="3" s="1"/>
  <c r="R64" i="3" s="1"/>
  <c r="V18" i="3"/>
  <c r="AE18" i="3"/>
  <c r="Z65" i="3" l="1"/>
  <c r="AA65" i="3"/>
  <c r="A66" i="3"/>
  <c r="B66" i="3" s="1"/>
  <c r="AC65" i="3"/>
  <c r="P65" i="3"/>
  <c r="Q65" i="3" s="1"/>
  <c r="R65" i="3" s="1"/>
  <c r="AD65" i="3"/>
  <c r="L18" i="3"/>
  <c r="W18" i="3"/>
  <c r="S64" i="3"/>
  <c r="T63" i="3"/>
  <c r="A67" i="3" l="1"/>
  <c r="B67" i="3" s="1"/>
  <c r="P66" i="3"/>
  <c r="Q66" i="3" s="1"/>
  <c r="R66" i="3" s="1"/>
  <c r="AC66" i="3"/>
  <c r="Z66" i="3"/>
  <c r="AD66" i="3"/>
  <c r="AA66" i="3"/>
  <c r="U18" i="3"/>
  <c r="D19" i="3" s="1"/>
  <c r="AH19" i="3"/>
  <c r="AG19" i="3"/>
  <c r="Y17" i="3"/>
  <c r="S65" i="3"/>
  <c r="T64" i="3"/>
  <c r="G19" i="3" l="1"/>
  <c r="E19" i="3"/>
  <c r="H19" i="3" s="1"/>
  <c r="AA67" i="3"/>
  <c r="Z67" i="3"/>
  <c r="AD67" i="3"/>
  <c r="AC67" i="3"/>
  <c r="P67" i="3"/>
  <c r="Q67" i="3" s="1"/>
  <c r="R67" i="3" s="1"/>
  <c r="A68" i="3"/>
  <c r="B68" i="3" s="1"/>
  <c r="S66" i="3"/>
  <c r="T65" i="3"/>
  <c r="F19" i="3" l="1"/>
  <c r="AD68" i="3"/>
  <c r="AC68" i="3"/>
  <c r="Z68" i="3"/>
  <c r="AA68" i="3"/>
  <c r="A69" i="3"/>
  <c r="B69" i="3" s="1"/>
  <c r="P68" i="3"/>
  <c r="Q68" i="3" s="1"/>
  <c r="R68" i="3" s="1"/>
  <c r="I19" i="3"/>
  <c r="J19" i="3"/>
  <c r="M19" i="3"/>
  <c r="N19" i="3" s="1"/>
  <c r="K19" i="3"/>
  <c r="S67" i="3"/>
  <c r="T66" i="3"/>
  <c r="Z69" i="3" l="1"/>
  <c r="AC69" i="3"/>
  <c r="P69" i="3"/>
  <c r="Q69" i="3" s="1"/>
  <c r="R69" i="3" s="1"/>
  <c r="AA69" i="3"/>
  <c r="AD69" i="3"/>
  <c r="A70" i="3"/>
  <c r="B70" i="3" s="1"/>
  <c r="V19" i="3"/>
  <c r="W19" i="3" s="1"/>
  <c r="AE19" i="3"/>
  <c r="L19" i="3"/>
  <c r="T67" i="3"/>
  <c r="S68" i="3"/>
  <c r="AH20" i="3" l="1"/>
  <c r="U19" i="3"/>
  <c r="E20" i="3" s="1"/>
  <c r="H20" i="3" s="1"/>
  <c r="AG20" i="3"/>
  <c r="Y18" i="3"/>
  <c r="A71" i="3"/>
  <c r="B71" i="3" s="1"/>
  <c r="AC70" i="3"/>
  <c r="AA70" i="3"/>
  <c r="AD70" i="3"/>
  <c r="P70" i="3"/>
  <c r="Q70" i="3" s="1"/>
  <c r="R70" i="3" s="1"/>
  <c r="Z70" i="3"/>
  <c r="S69" i="3"/>
  <c r="T68" i="3"/>
  <c r="D20" i="3" l="1"/>
  <c r="G20" i="3" s="1"/>
  <c r="K20" i="3"/>
  <c r="AA71" i="3"/>
  <c r="A72" i="3"/>
  <c r="B72" i="3" s="1"/>
  <c r="AC71" i="3"/>
  <c r="Z71" i="3"/>
  <c r="AD71" i="3"/>
  <c r="P71" i="3"/>
  <c r="Q71" i="3" s="1"/>
  <c r="R71" i="3" s="1"/>
  <c r="T69" i="3"/>
  <c r="S70" i="3"/>
  <c r="F20" i="3" l="1"/>
  <c r="A73" i="3"/>
  <c r="B73" i="3" s="1"/>
  <c r="Z72" i="3"/>
  <c r="P72" i="3"/>
  <c r="Q72" i="3" s="1"/>
  <c r="R72" i="3" s="1"/>
  <c r="AD72" i="3"/>
  <c r="AA72" i="3"/>
  <c r="AC72" i="3"/>
  <c r="T70" i="3"/>
  <c r="S71" i="3"/>
  <c r="V20" i="3"/>
  <c r="AE20" i="3"/>
  <c r="I20" i="3"/>
  <c r="J20" i="3"/>
  <c r="M20" i="3"/>
  <c r="N20" i="3" s="1"/>
  <c r="AC73" i="3" l="1"/>
  <c r="A74" i="3"/>
  <c r="B74" i="3" s="1"/>
  <c r="Z73" i="3"/>
  <c r="AA73" i="3"/>
  <c r="AD73" i="3"/>
  <c r="P73" i="3"/>
  <c r="Q73" i="3" s="1"/>
  <c r="R73" i="3" s="1"/>
  <c r="L20" i="3"/>
  <c r="T71" i="3"/>
  <c r="S72" i="3"/>
  <c r="W20" i="3"/>
  <c r="AD74" i="3" l="1"/>
  <c r="P74" i="3"/>
  <c r="Q74" i="3" s="1"/>
  <c r="R74" i="3" s="1"/>
  <c r="AC74" i="3"/>
  <c r="A75" i="3"/>
  <c r="B75" i="3" s="1"/>
  <c r="AA74" i="3"/>
  <c r="Z74" i="3"/>
  <c r="AG21" i="3"/>
  <c r="U20" i="3"/>
  <c r="E21" i="3" s="1"/>
  <c r="H21" i="3" s="1"/>
  <c r="AH21" i="3"/>
  <c r="Y19" i="3"/>
  <c r="S73" i="3"/>
  <c r="T72" i="3"/>
  <c r="D21" i="3" l="1"/>
  <c r="G21" i="3" s="1"/>
  <c r="K21" i="3"/>
  <c r="P75" i="3"/>
  <c r="Q75" i="3" s="1"/>
  <c r="R75" i="3" s="1"/>
  <c r="Z75" i="3"/>
  <c r="A76" i="3"/>
  <c r="B76" i="3" s="1"/>
  <c r="AA75" i="3"/>
  <c r="AC75" i="3"/>
  <c r="AD75" i="3"/>
  <c r="T73" i="3"/>
  <c r="S74" i="3"/>
  <c r="F21" i="3" l="1"/>
  <c r="AC76" i="3"/>
  <c r="Z76" i="3"/>
  <c r="AD76" i="3"/>
  <c r="AA76" i="3"/>
  <c r="A77" i="3"/>
  <c r="B77" i="3" s="1"/>
  <c r="P76" i="3"/>
  <c r="Q76" i="3" s="1"/>
  <c r="R76" i="3" s="1"/>
  <c r="I21" i="3"/>
  <c r="J21" i="3"/>
  <c r="M21" i="3"/>
  <c r="N21" i="3" s="1"/>
  <c r="S75" i="3"/>
  <c r="T74" i="3"/>
  <c r="V21" i="3"/>
  <c r="AE21" i="3"/>
  <c r="W21" i="3" l="1"/>
  <c r="S76" i="3"/>
  <c r="T75" i="3"/>
  <c r="A78" i="3"/>
  <c r="B78" i="3" s="1"/>
  <c r="AA77" i="3"/>
  <c r="Z77" i="3"/>
  <c r="P77" i="3"/>
  <c r="Q77" i="3" s="1"/>
  <c r="R77" i="3" s="1"/>
  <c r="AD77" i="3"/>
  <c r="AC77" i="3"/>
  <c r="L21" i="3"/>
  <c r="S77" i="3" l="1"/>
  <c r="T76" i="3"/>
  <c r="AG22" i="3"/>
  <c r="U21" i="3"/>
  <c r="D22" i="3" s="1"/>
  <c r="AH22" i="3"/>
  <c r="Y20" i="3"/>
  <c r="A79" i="3"/>
  <c r="B79" i="3" s="1"/>
  <c r="AD78" i="3"/>
  <c r="P78" i="3"/>
  <c r="Q78" i="3" s="1"/>
  <c r="R78" i="3" s="1"/>
  <c r="AC78" i="3"/>
  <c r="AA78" i="3"/>
  <c r="Z78" i="3"/>
  <c r="G22" i="3" l="1"/>
  <c r="T77" i="3"/>
  <c r="S78" i="3"/>
  <c r="E22" i="3"/>
  <c r="H22" i="3" s="1"/>
  <c r="P79" i="3"/>
  <c r="Q79" i="3" s="1"/>
  <c r="R79" i="3" s="1"/>
  <c r="A80" i="3"/>
  <c r="B80" i="3" s="1"/>
  <c r="Z79" i="3"/>
  <c r="AC79" i="3"/>
  <c r="AA79" i="3"/>
  <c r="AD79" i="3"/>
  <c r="AA80" i="3" l="1"/>
  <c r="A81" i="3"/>
  <c r="B81" i="3" s="1"/>
  <c r="AD80" i="3"/>
  <c r="AC80" i="3"/>
  <c r="P80" i="3"/>
  <c r="Q80" i="3" s="1"/>
  <c r="R80" i="3" s="1"/>
  <c r="Z80" i="3"/>
  <c r="I22" i="3"/>
  <c r="J22" i="3"/>
  <c r="M22" i="3"/>
  <c r="N22" i="3" s="1"/>
  <c r="K22" i="3"/>
  <c r="T78" i="3"/>
  <c r="S79" i="3"/>
  <c r="F22" i="3"/>
  <c r="L22" i="3" l="1"/>
  <c r="S80" i="3"/>
  <c r="T79" i="3"/>
  <c r="Z81" i="3"/>
  <c r="AC81" i="3"/>
  <c r="A82" i="3"/>
  <c r="B82" i="3" s="1"/>
  <c r="AA81" i="3"/>
  <c r="AD81" i="3"/>
  <c r="P81" i="3"/>
  <c r="Q81" i="3" s="1"/>
  <c r="R81" i="3" s="1"/>
  <c r="V22" i="3"/>
  <c r="W22" i="3" s="1"/>
  <c r="AE22" i="3"/>
  <c r="U22" i="3" l="1"/>
  <c r="E23" i="3" s="1"/>
  <c r="H23" i="3" s="1"/>
  <c r="AH23" i="3"/>
  <c r="AG23" i="3"/>
  <c r="Y21" i="3"/>
  <c r="A83" i="3"/>
  <c r="B83" i="3" s="1"/>
  <c r="P82" i="3"/>
  <c r="Q82" i="3" s="1"/>
  <c r="R82" i="3" s="1"/>
  <c r="AC82" i="3"/>
  <c r="AA82" i="3"/>
  <c r="Z82" i="3"/>
  <c r="AD82" i="3"/>
  <c r="T80" i="3"/>
  <c r="S81" i="3"/>
  <c r="AA83" i="3" l="1"/>
  <c r="AC83" i="3"/>
  <c r="P83" i="3"/>
  <c r="Q83" i="3" s="1"/>
  <c r="R83" i="3" s="1"/>
  <c r="Z83" i="3"/>
  <c r="AD83" i="3"/>
  <c r="A84" i="3"/>
  <c r="B84" i="3" s="1"/>
  <c r="K23" i="3"/>
  <c r="D23" i="3"/>
  <c r="T81" i="3"/>
  <c r="S82" i="3"/>
  <c r="AA84" i="3" l="1"/>
  <c r="Z84" i="3"/>
  <c r="A85" i="3"/>
  <c r="B85" i="3" s="1"/>
  <c r="P84" i="3"/>
  <c r="Q84" i="3" s="1"/>
  <c r="R84" i="3" s="1"/>
  <c r="AD84" i="3"/>
  <c r="AC84" i="3"/>
  <c r="T82" i="3"/>
  <c r="S83" i="3"/>
  <c r="V23" i="3"/>
  <c r="AE23" i="3"/>
  <c r="F23" i="3"/>
  <c r="G23" i="3"/>
  <c r="T83" i="3" l="1"/>
  <c r="S84" i="3"/>
  <c r="A86" i="3"/>
  <c r="B86" i="3" s="1"/>
  <c r="P85" i="3"/>
  <c r="Q85" i="3" s="1"/>
  <c r="R85" i="3" s="1"/>
  <c r="AA85" i="3"/>
  <c r="AC85" i="3"/>
  <c r="Z85" i="3"/>
  <c r="AD85" i="3"/>
  <c r="I23" i="3"/>
  <c r="W23" i="3" s="1"/>
  <c r="J23" i="3"/>
  <c r="M23" i="3"/>
  <c r="N23" i="3" s="1"/>
  <c r="AC86" i="3" l="1"/>
  <c r="Z86" i="3"/>
  <c r="P86" i="3"/>
  <c r="Q86" i="3" s="1"/>
  <c r="R86" i="3" s="1"/>
  <c r="AA86" i="3"/>
  <c r="A87" i="3"/>
  <c r="B87" i="3" s="1"/>
  <c r="AD86" i="3"/>
  <c r="S85" i="3"/>
  <c r="T84" i="3"/>
  <c r="L23" i="3"/>
  <c r="P87" i="3" l="1"/>
  <c r="Q87" i="3" s="1"/>
  <c r="R87" i="3" s="1"/>
  <c r="Z87" i="3"/>
  <c r="A88" i="3"/>
  <c r="B88" i="3" s="1"/>
  <c r="AD87" i="3"/>
  <c r="AC87" i="3"/>
  <c r="AA87" i="3"/>
  <c r="AG24" i="3"/>
  <c r="AH24" i="3"/>
  <c r="U23" i="3"/>
  <c r="E24" i="3" s="1"/>
  <c r="H24" i="3" s="1"/>
  <c r="Y22" i="3"/>
  <c r="T85" i="3"/>
  <c r="S86" i="3"/>
  <c r="D24" i="3" l="1"/>
  <c r="G24" i="3" s="1"/>
  <c r="T86" i="3"/>
  <c r="S87" i="3"/>
  <c r="A89" i="3"/>
  <c r="B89" i="3" s="1"/>
  <c r="P88" i="3"/>
  <c r="Q88" i="3" s="1"/>
  <c r="R88" i="3" s="1"/>
  <c r="AC88" i="3"/>
  <c r="Z88" i="3"/>
  <c r="AA88" i="3"/>
  <c r="AD88" i="3"/>
  <c r="K24" i="3"/>
  <c r="F24" i="3" l="1"/>
  <c r="AD89" i="3"/>
  <c r="AC89" i="3"/>
  <c r="P89" i="3"/>
  <c r="Q89" i="3" s="1"/>
  <c r="R89" i="3" s="1"/>
  <c r="Z89" i="3"/>
  <c r="AA89" i="3"/>
  <c r="A90" i="3"/>
  <c r="B90" i="3" s="1"/>
  <c r="S88" i="3"/>
  <c r="T87" i="3"/>
  <c r="V24" i="3"/>
  <c r="AE24" i="3"/>
  <c r="I24" i="3"/>
  <c r="J24" i="3"/>
  <c r="M24" i="3"/>
  <c r="N24" i="3" s="1"/>
  <c r="T88" i="3" l="1"/>
  <c r="S89" i="3"/>
  <c r="A91" i="3"/>
  <c r="B91" i="3" s="1"/>
  <c r="P90" i="3"/>
  <c r="Q90" i="3" s="1"/>
  <c r="R90" i="3" s="1"/>
  <c r="AC90" i="3"/>
  <c r="Z90" i="3"/>
  <c r="AA90" i="3"/>
  <c r="AD90" i="3"/>
  <c r="L24" i="3"/>
  <c r="W24" i="3"/>
  <c r="S90" i="3" l="1"/>
  <c r="T89" i="3"/>
  <c r="P91" i="3"/>
  <c r="Q91" i="3" s="1"/>
  <c r="R91" i="3" s="1"/>
  <c r="AD91" i="3"/>
  <c r="AA91" i="3"/>
  <c r="A92" i="3"/>
  <c r="B92" i="3" s="1"/>
  <c r="AC91" i="3"/>
  <c r="Z91" i="3"/>
  <c r="AH25" i="3"/>
  <c r="AG25" i="3"/>
  <c r="U24" i="3"/>
  <c r="D25" i="3" s="1"/>
  <c r="Y23" i="3"/>
  <c r="E25" i="3" l="1"/>
  <c r="H25" i="3" s="1"/>
  <c r="K25" i="3" s="1"/>
  <c r="G25" i="3"/>
  <c r="AA92" i="3"/>
  <c r="AD92" i="3"/>
  <c r="AC92" i="3"/>
  <c r="P92" i="3"/>
  <c r="Q92" i="3" s="1"/>
  <c r="R92" i="3" s="1"/>
  <c r="Z92" i="3"/>
  <c r="A93" i="3"/>
  <c r="B93" i="3" s="1"/>
  <c r="S91" i="3"/>
  <c r="T90" i="3"/>
  <c r="F25" i="3" l="1"/>
  <c r="S92" i="3"/>
  <c r="T91" i="3"/>
  <c r="Z93" i="3"/>
  <c r="AA93" i="3"/>
  <c r="P93" i="3"/>
  <c r="Q93" i="3" s="1"/>
  <c r="R93" i="3" s="1"/>
  <c r="A94" i="3"/>
  <c r="B94" i="3" s="1"/>
  <c r="AD93" i="3"/>
  <c r="AC93" i="3"/>
  <c r="I25" i="3"/>
  <c r="J25" i="3"/>
  <c r="M25" i="3"/>
  <c r="N25" i="3" s="1"/>
  <c r="V25" i="3"/>
  <c r="AE25" i="3"/>
  <c r="W25" i="3" l="1"/>
  <c r="AC94" i="3"/>
  <c r="Z94" i="3"/>
  <c r="AA94" i="3"/>
  <c r="AD94" i="3"/>
  <c r="A95" i="3"/>
  <c r="B95" i="3" s="1"/>
  <c r="P94" i="3"/>
  <c r="Q94" i="3" s="1"/>
  <c r="R94" i="3" s="1"/>
  <c r="L25" i="3"/>
  <c r="T92" i="3"/>
  <c r="S93" i="3"/>
  <c r="U25" i="3" l="1"/>
  <c r="E26" i="3" s="1"/>
  <c r="H26" i="3" s="1"/>
  <c r="AH26" i="3"/>
  <c r="AG26" i="3"/>
  <c r="Y24" i="3"/>
  <c r="Z95" i="3"/>
  <c r="A96" i="3"/>
  <c r="B96" i="3" s="1"/>
  <c r="P95" i="3"/>
  <c r="Q95" i="3" s="1"/>
  <c r="R95" i="3" s="1"/>
  <c r="AC95" i="3"/>
  <c r="AD95" i="3"/>
  <c r="AA95" i="3"/>
  <c r="S94" i="3"/>
  <c r="T93" i="3"/>
  <c r="D26" i="3" l="1"/>
  <c r="G26" i="3" s="1"/>
  <c r="K26" i="3"/>
  <c r="Z96" i="3"/>
  <c r="P96" i="3"/>
  <c r="Q96" i="3" s="1"/>
  <c r="R96" i="3" s="1"/>
  <c r="AC96" i="3"/>
  <c r="AA96" i="3"/>
  <c r="AD96" i="3"/>
  <c r="A97" i="3"/>
  <c r="B97" i="3" s="1"/>
  <c r="T94" i="3"/>
  <c r="S95" i="3"/>
  <c r="F26" i="3" l="1"/>
  <c r="I26" i="3"/>
  <c r="J26" i="3"/>
  <c r="M26" i="3"/>
  <c r="N26" i="3" s="1"/>
  <c r="S96" i="3"/>
  <c r="T95" i="3"/>
  <c r="A98" i="3"/>
  <c r="B98" i="3" s="1"/>
  <c r="P97" i="3"/>
  <c r="Q97" i="3" s="1"/>
  <c r="R97" i="3" s="1"/>
  <c r="AD97" i="3"/>
  <c r="AA97" i="3"/>
  <c r="Z97" i="3"/>
  <c r="AC97" i="3"/>
  <c r="V26" i="3"/>
  <c r="AE26" i="3"/>
  <c r="W26" i="3" l="1"/>
  <c r="A99" i="3"/>
  <c r="B99" i="3" s="1"/>
  <c r="AD98" i="3"/>
  <c r="AA98" i="3"/>
  <c r="P98" i="3"/>
  <c r="Q98" i="3" s="1"/>
  <c r="R98" i="3" s="1"/>
  <c r="Z98" i="3"/>
  <c r="AC98" i="3"/>
  <c r="S97" i="3"/>
  <c r="T96" i="3"/>
  <c r="L26" i="3"/>
  <c r="AD99" i="3" l="1"/>
  <c r="P99" i="3"/>
  <c r="Q99" i="3" s="1"/>
  <c r="R99" i="3" s="1"/>
  <c r="Z99" i="3"/>
  <c r="A100" i="3"/>
  <c r="B100" i="3" s="1"/>
  <c r="AC99" i="3"/>
  <c r="AA99" i="3"/>
  <c r="T97" i="3"/>
  <c r="S98" i="3"/>
  <c r="AH27" i="3"/>
  <c r="U26" i="3"/>
  <c r="D27" i="3" s="1"/>
  <c r="AG27" i="3"/>
  <c r="Y25" i="3"/>
  <c r="E27" i="3" l="1"/>
  <c r="H27" i="3" s="1"/>
  <c r="K27" i="3" s="1"/>
  <c r="G27" i="3"/>
  <c r="A101" i="3"/>
  <c r="B101" i="3" s="1"/>
  <c r="AA100" i="3"/>
  <c r="AC100" i="3"/>
  <c r="Z100" i="3"/>
  <c r="AD100" i="3"/>
  <c r="P100" i="3"/>
  <c r="Q100" i="3" s="1"/>
  <c r="R100" i="3" s="1"/>
  <c r="T98" i="3"/>
  <c r="S99" i="3"/>
  <c r="F27" i="3" l="1"/>
  <c r="AD101" i="3"/>
  <c r="Z101" i="3"/>
  <c r="P101" i="3"/>
  <c r="Q101" i="3" s="1"/>
  <c r="R101" i="3" s="1"/>
  <c r="AC101" i="3"/>
  <c r="A102" i="3"/>
  <c r="B102" i="3" s="1"/>
  <c r="AA101" i="3"/>
  <c r="I27" i="3"/>
  <c r="J27" i="3"/>
  <c r="M27" i="3"/>
  <c r="N27" i="3" s="1"/>
  <c r="V27" i="3"/>
  <c r="AE27" i="3"/>
  <c r="T99" i="3"/>
  <c r="S100" i="3"/>
  <c r="P102" i="3" l="1"/>
  <c r="Q102" i="3" s="1"/>
  <c r="R102" i="3" s="1"/>
  <c r="A103" i="3"/>
  <c r="B103" i="3" s="1"/>
  <c r="AA102" i="3"/>
  <c r="AC102" i="3"/>
  <c r="AD102" i="3"/>
  <c r="Z102" i="3"/>
  <c r="T100" i="3"/>
  <c r="S101" i="3"/>
  <c r="L27" i="3"/>
  <c r="W27" i="3"/>
  <c r="P103" i="3" l="1"/>
  <c r="Q103" i="3" s="1"/>
  <c r="R103" i="3" s="1"/>
  <c r="AD103" i="3"/>
  <c r="AC103" i="3"/>
  <c r="Z103" i="3"/>
  <c r="A104" i="3"/>
  <c r="B104" i="3" s="1"/>
  <c r="AA103" i="3"/>
  <c r="U27" i="3"/>
  <c r="E28" i="3" s="1"/>
  <c r="H28" i="3" s="1"/>
  <c r="AG28" i="3"/>
  <c r="AH28" i="3"/>
  <c r="Y26" i="3"/>
  <c r="S102" i="3"/>
  <c r="T101" i="3"/>
  <c r="D28" i="3" l="1"/>
  <c r="F28" i="3" s="1"/>
  <c r="K28" i="3"/>
  <c r="A105" i="3"/>
  <c r="B105" i="3" s="1"/>
  <c r="AC104" i="3"/>
  <c r="P104" i="3"/>
  <c r="Q104" i="3" s="1"/>
  <c r="R104" i="3" s="1"/>
  <c r="Z104" i="3"/>
  <c r="AA104" i="3"/>
  <c r="T102" i="3"/>
  <c r="S103" i="3"/>
  <c r="G28" i="3" l="1"/>
  <c r="I28" i="3" s="1"/>
  <c r="A106" i="3"/>
  <c r="B106" i="3" s="1"/>
  <c r="AA105" i="3"/>
  <c r="Z105" i="3"/>
  <c r="P105" i="3"/>
  <c r="Q105" i="3" s="1"/>
  <c r="R105" i="3" s="1"/>
  <c r="AC105" i="3"/>
  <c r="AD105" i="3"/>
  <c r="S104" i="3"/>
  <c r="T103" i="3"/>
  <c r="V28" i="3"/>
  <c r="AE28" i="3"/>
  <c r="M28" i="3" l="1"/>
  <c r="N28" i="3" s="1"/>
  <c r="J28" i="3"/>
  <c r="L28" i="3" s="1"/>
  <c r="W28" i="3"/>
  <c r="P106" i="3"/>
  <c r="Q106" i="3" s="1"/>
  <c r="R106" i="3" s="1"/>
  <c r="Z106" i="3"/>
  <c r="A107" i="3"/>
  <c r="B107" i="3" s="1"/>
  <c r="AD106" i="3"/>
  <c r="AC106" i="3"/>
  <c r="AA106" i="3"/>
  <c r="S105" i="3"/>
  <c r="T104" i="3"/>
  <c r="S106" i="3" l="1"/>
  <c r="T105" i="3"/>
  <c r="Z107" i="3"/>
  <c r="AA107" i="3"/>
  <c r="AC107" i="3"/>
  <c r="AD107" i="3"/>
  <c r="P107" i="3"/>
  <c r="Q107" i="3" s="1"/>
  <c r="R107" i="3" s="1"/>
  <c r="A108" i="3"/>
  <c r="B108" i="3" s="1"/>
  <c r="AH29" i="3"/>
  <c r="AG29" i="3"/>
  <c r="U28" i="3"/>
  <c r="E29" i="3" s="1"/>
  <c r="H29" i="3" s="1"/>
  <c r="Y27" i="3"/>
  <c r="D29" i="3" l="1"/>
  <c r="F29" i="3" s="1"/>
  <c r="Z108" i="3"/>
  <c r="AA108" i="3"/>
  <c r="A109" i="3"/>
  <c r="B109" i="3" s="1"/>
  <c r="AC108" i="3"/>
  <c r="P108" i="3"/>
  <c r="Q108" i="3" s="1"/>
  <c r="R108" i="3" s="1"/>
  <c r="AD108" i="3"/>
  <c r="S107" i="3"/>
  <c r="T106" i="3"/>
  <c r="K29" i="3"/>
  <c r="G29" i="3" l="1"/>
  <c r="M29" i="3" s="1"/>
  <c r="N29" i="3" s="1"/>
  <c r="A110" i="3"/>
  <c r="B110" i="3" s="1"/>
  <c r="AD109" i="3"/>
  <c r="P109" i="3"/>
  <c r="Q109" i="3" s="1"/>
  <c r="R109" i="3" s="1"/>
  <c r="AA109" i="3"/>
  <c r="Z109" i="3"/>
  <c r="AC109" i="3"/>
  <c r="V29" i="3"/>
  <c r="AE29" i="3"/>
  <c r="T107" i="3"/>
  <c r="S108" i="3"/>
  <c r="J29" i="3" l="1"/>
  <c r="L29" i="3" s="1"/>
  <c r="I29" i="3"/>
  <c r="W29" i="3" s="1"/>
  <c r="AA110" i="3"/>
  <c r="A111" i="3"/>
  <c r="B111" i="3" s="1"/>
  <c r="AD110" i="3"/>
  <c r="Z110" i="3"/>
  <c r="P110" i="3"/>
  <c r="Q110" i="3" s="1"/>
  <c r="R110" i="3" s="1"/>
  <c r="AC110" i="3"/>
  <c r="S109" i="3"/>
  <c r="T108" i="3"/>
  <c r="A112" i="3" l="1"/>
  <c r="B112" i="3" s="1"/>
  <c r="AA111" i="3"/>
  <c r="AC111" i="3"/>
  <c r="P111" i="3"/>
  <c r="Q111" i="3" s="1"/>
  <c r="R111" i="3" s="1"/>
  <c r="AD111" i="3"/>
  <c r="Z111" i="3"/>
  <c r="U29" i="3"/>
  <c r="D30" i="3" s="1"/>
  <c r="AG30" i="3"/>
  <c r="AH30" i="3"/>
  <c r="Y28" i="3"/>
  <c r="S110" i="3"/>
  <c r="T109" i="3"/>
  <c r="E30" i="3" l="1"/>
  <c r="H30" i="3" s="1"/>
  <c r="K30" i="3" s="1"/>
  <c r="AD112" i="3"/>
  <c r="P112" i="3"/>
  <c r="Q112" i="3" s="1"/>
  <c r="R112" i="3" s="1"/>
  <c r="AA112" i="3"/>
  <c r="Z112" i="3"/>
  <c r="A113" i="3"/>
  <c r="B113" i="3" s="1"/>
  <c r="AC112" i="3"/>
  <c r="G30" i="3"/>
  <c r="T110" i="3"/>
  <c r="S111" i="3"/>
  <c r="F30" i="3" l="1"/>
  <c r="AC113" i="3"/>
  <c r="AA113" i="3"/>
  <c r="A114" i="3"/>
  <c r="B114" i="3" s="1"/>
  <c r="Z113" i="3"/>
  <c r="P113" i="3"/>
  <c r="Q113" i="3" s="1"/>
  <c r="R113" i="3" s="1"/>
  <c r="AD113" i="3"/>
  <c r="S112" i="3"/>
  <c r="T111" i="3"/>
  <c r="I30" i="3"/>
  <c r="J30" i="3"/>
  <c r="M30" i="3"/>
  <c r="N30" i="3" s="1"/>
  <c r="V30" i="3"/>
  <c r="AE30" i="3"/>
  <c r="W30" i="3" l="1"/>
  <c r="P114" i="3"/>
  <c r="Q114" i="3" s="1"/>
  <c r="R114" i="3" s="1"/>
  <c r="AD114" i="3"/>
  <c r="Z114" i="3"/>
  <c r="AC114" i="3"/>
  <c r="AA114" i="3"/>
  <c r="A115" i="3"/>
  <c r="B115" i="3" s="1"/>
  <c r="S113" i="3"/>
  <c r="T112" i="3"/>
  <c r="L30" i="3"/>
  <c r="AA115" i="3" l="1"/>
  <c r="A116" i="3"/>
  <c r="B116" i="3" s="1"/>
  <c r="Z115" i="3"/>
  <c r="AD115" i="3"/>
  <c r="P115" i="3"/>
  <c r="Q115" i="3" s="1"/>
  <c r="R115" i="3" s="1"/>
  <c r="AC115" i="3"/>
  <c r="T113" i="3"/>
  <c r="S114" i="3"/>
  <c r="U30" i="3"/>
  <c r="D31" i="3" s="1"/>
  <c r="AG31" i="3"/>
  <c r="AH31" i="3"/>
  <c r="Y29" i="3"/>
  <c r="E31" i="3" l="1"/>
  <c r="H31" i="3" s="1"/>
  <c r="K31" i="3" s="1"/>
  <c r="AD116" i="3"/>
  <c r="P116" i="3"/>
  <c r="Q116" i="3" s="1"/>
  <c r="R116" i="3" s="1"/>
  <c r="AA116" i="3"/>
  <c r="A117" i="3"/>
  <c r="B117" i="3" s="1"/>
  <c r="AC116" i="3"/>
  <c r="Z116" i="3"/>
  <c r="S115" i="3"/>
  <c r="T114" i="3"/>
  <c r="G31" i="3"/>
  <c r="F31" i="3" l="1"/>
  <c r="A118" i="3"/>
  <c r="B118" i="3" s="1"/>
  <c r="Z117" i="3"/>
  <c r="P117" i="3"/>
  <c r="Q117" i="3" s="1"/>
  <c r="R117" i="3" s="1"/>
  <c r="AC117" i="3"/>
  <c r="AD117" i="3"/>
  <c r="AA117" i="3"/>
  <c r="S116" i="3"/>
  <c r="T115" i="3"/>
  <c r="V31" i="3"/>
  <c r="AE31" i="3"/>
  <c r="I31" i="3"/>
  <c r="J31" i="3"/>
  <c r="M31" i="3"/>
  <c r="N31" i="3" s="1"/>
  <c r="P118" i="3" l="1"/>
  <c r="Q118" i="3" s="1"/>
  <c r="R118" i="3" s="1"/>
  <c r="Z118" i="3"/>
  <c r="AA118" i="3"/>
  <c r="AC118" i="3"/>
  <c r="A119" i="3"/>
  <c r="B119" i="3" s="1"/>
  <c r="AD118" i="3"/>
  <c r="L31" i="3"/>
  <c r="S117" i="3"/>
  <c r="T116" i="3"/>
  <c r="W31" i="3"/>
  <c r="S118" i="3" l="1"/>
  <c r="T117" i="3"/>
  <c r="AG32" i="3"/>
  <c r="AH32" i="3"/>
  <c r="U31" i="3"/>
  <c r="E32" i="3" s="1"/>
  <c r="H32" i="3" s="1"/>
  <c r="Y30" i="3"/>
  <c r="AD119" i="3"/>
  <c r="Z119" i="3"/>
  <c r="AC119" i="3"/>
  <c r="P119" i="3"/>
  <c r="Q119" i="3" s="1"/>
  <c r="R119" i="3" s="1"/>
  <c r="AA119" i="3"/>
  <c r="A120" i="3"/>
  <c r="B120" i="3" s="1"/>
  <c r="D32" i="3" l="1"/>
  <c r="F32" i="3" s="1"/>
  <c r="K32" i="3"/>
  <c r="T118" i="3"/>
  <c r="S119" i="3"/>
  <c r="P120" i="3"/>
  <c r="Q120" i="3" s="1"/>
  <c r="R120" i="3" s="1"/>
  <c r="Z120" i="3"/>
  <c r="AA120" i="3"/>
  <c r="AD120" i="3"/>
  <c r="A121" i="3"/>
  <c r="B121" i="3" s="1"/>
  <c r="AC120" i="3"/>
  <c r="G32" i="3" l="1"/>
  <c r="I32" i="3" s="1"/>
  <c r="A122" i="3"/>
  <c r="B122" i="3" s="1"/>
  <c r="P121" i="3"/>
  <c r="Q121" i="3" s="1"/>
  <c r="R121" i="3" s="1"/>
  <c r="AC121" i="3"/>
  <c r="AD121" i="3"/>
  <c r="AA121" i="3"/>
  <c r="Z121" i="3"/>
  <c r="V32" i="3"/>
  <c r="AE32" i="3"/>
  <c r="T119" i="3"/>
  <c r="S120" i="3"/>
  <c r="M32" i="3" l="1"/>
  <c r="N32" i="3" s="1"/>
  <c r="J32" i="3"/>
  <c r="L32" i="3" s="1"/>
  <c r="W32" i="3"/>
  <c r="AD122" i="3"/>
  <c r="A123" i="3"/>
  <c r="B123" i="3" s="1"/>
  <c r="Z122" i="3"/>
  <c r="AA122" i="3"/>
  <c r="P122" i="3"/>
  <c r="Q122" i="3" s="1"/>
  <c r="R122" i="3" s="1"/>
  <c r="AC122" i="3"/>
  <c r="S121" i="3"/>
  <c r="T120" i="3"/>
  <c r="T121" i="3" l="1"/>
  <c r="S122" i="3"/>
  <c r="AA123" i="3"/>
  <c r="P123" i="3"/>
  <c r="Q123" i="3" s="1"/>
  <c r="R123" i="3" s="1"/>
  <c r="A124" i="3"/>
  <c r="B124" i="3" s="1"/>
  <c r="Z123" i="3"/>
  <c r="AC123" i="3"/>
  <c r="AD123" i="3"/>
  <c r="AH33" i="3"/>
  <c r="AG33" i="3"/>
  <c r="U32" i="3"/>
  <c r="D33" i="3" s="1"/>
  <c r="Y31" i="3"/>
  <c r="E33" i="3" l="1"/>
  <c r="H33" i="3" s="1"/>
  <c r="K33" i="3" s="1"/>
  <c r="A125" i="3"/>
  <c r="B125" i="3" s="1"/>
  <c r="P124" i="3"/>
  <c r="Q124" i="3" s="1"/>
  <c r="R124" i="3" s="1"/>
  <c r="AC124" i="3"/>
  <c r="AA124" i="3"/>
  <c r="Z124" i="3"/>
  <c r="AD124" i="3"/>
  <c r="T122" i="3"/>
  <c r="S123" i="3"/>
  <c r="G33" i="3"/>
  <c r="F33" i="3" l="1"/>
  <c r="P125" i="3"/>
  <c r="Q125" i="3" s="1"/>
  <c r="R125" i="3" s="1"/>
  <c r="Z125" i="3"/>
  <c r="AC125" i="3"/>
  <c r="AD125" i="3"/>
  <c r="AA125" i="3"/>
  <c r="A126" i="3"/>
  <c r="B126" i="3" s="1"/>
  <c r="S124" i="3"/>
  <c r="T123" i="3"/>
  <c r="I33" i="3"/>
  <c r="J33" i="3"/>
  <c r="M33" i="3"/>
  <c r="N33" i="3" s="1"/>
  <c r="V33" i="3"/>
  <c r="AE33" i="3"/>
  <c r="W33" i="3" l="1"/>
  <c r="AA126" i="3"/>
  <c r="P126" i="3"/>
  <c r="Q126" i="3" s="1"/>
  <c r="R126" i="3" s="1"/>
  <c r="Z126" i="3"/>
  <c r="AC126" i="3"/>
  <c r="A127" i="3"/>
  <c r="B127" i="3" s="1"/>
  <c r="AD126" i="3"/>
  <c r="L33" i="3"/>
  <c r="S125" i="3"/>
  <c r="T124" i="3"/>
  <c r="Z127" i="3" l="1"/>
  <c r="AC127" i="3"/>
  <c r="P127" i="3"/>
  <c r="Q127" i="3" s="1"/>
  <c r="R127" i="3" s="1"/>
  <c r="AD127" i="3"/>
  <c r="A128" i="3"/>
  <c r="B128" i="3" s="1"/>
  <c r="AA127" i="3"/>
  <c r="AH34" i="3"/>
  <c r="AG34" i="3"/>
  <c r="U33" i="3"/>
  <c r="D34" i="3" s="1"/>
  <c r="Y32" i="3"/>
  <c r="S126" i="3"/>
  <c r="T125" i="3"/>
  <c r="G34" i="3" l="1"/>
  <c r="P128" i="3"/>
  <c r="Q128" i="3" s="1"/>
  <c r="R128" i="3" s="1"/>
  <c r="Z128" i="3"/>
  <c r="AC128" i="3"/>
  <c r="AA128" i="3"/>
  <c r="A129" i="3"/>
  <c r="B129" i="3" s="1"/>
  <c r="AD128" i="3"/>
  <c r="E34" i="3"/>
  <c r="H34" i="3" s="1"/>
  <c r="S127" i="3"/>
  <c r="T126" i="3"/>
  <c r="F34" i="3" l="1"/>
  <c r="I34" i="3"/>
  <c r="J34" i="3"/>
  <c r="M34" i="3"/>
  <c r="N34" i="3" s="1"/>
  <c r="K34" i="3"/>
  <c r="P129" i="3"/>
  <c r="Q129" i="3" s="1"/>
  <c r="R129" i="3" s="1"/>
  <c r="AC129" i="3"/>
  <c r="Z129" i="3"/>
  <c r="A130" i="3"/>
  <c r="B130" i="3" s="1"/>
  <c r="AD129" i="3"/>
  <c r="AA129" i="3"/>
  <c r="S128" i="3"/>
  <c r="T127" i="3"/>
  <c r="A131" i="3" l="1"/>
  <c r="B131" i="3" s="1"/>
  <c r="AD130" i="3"/>
  <c r="P130" i="3"/>
  <c r="Q130" i="3" s="1"/>
  <c r="R130" i="3" s="1"/>
  <c r="AC130" i="3"/>
  <c r="AA130" i="3"/>
  <c r="Z130" i="3"/>
  <c r="S129" i="3"/>
  <c r="T128" i="3"/>
  <c r="V34" i="3"/>
  <c r="W34" i="3" s="1"/>
  <c r="AE34" i="3"/>
  <c r="L34" i="3"/>
  <c r="T129" i="3" l="1"/>
  <c r="S130" i="3"/>
  <c r="AC131" i="3"/>
  <c r="AD131" i="3"/>
  <c r="A132" i="3"/>
  <c r="B132" i="3" s="1"/>
  <c r="Z131" i="3"/>
  <c r="P131" i="3"/>
  <c r="Q131" i="3" s="1"/>
  <c r="R131" i="3" s="1"/>
  <c r="AA131" i="3"/>
  <c r="U34" i="3"/>
  <c r="E35" i="3" s="1"/>
  <c r="H35" i="3" s="1"/>
  <c r="AH35" i="3"/>
  <c r="AG35" i="3"/>
  <c r="Y33" i="3"/>
  <c r="D35" i="3" l="1"/>
  <c r="G35" i="3" s="1"/>
  <c r="AD132" i="3"/>
  <c r="P132" i="3"/>
  <c r="Q132" i="3" s="1"/>
  <c r="R132" i="3" s="1"/>
  <c r="Z132" i="3"/>
  <c r="A133" i="3"/>
  <c r="B133" i="3" s="1"/>
  <c r="AC132" i="3"/>
  <c r="AA132" i="3"/>
  <c r="T130" i="3"/>
  <c r="S131" i="3"/>
  <c r="K35" i="3"/>
  <c r="F35" i="3" l="1"/>
  <c r="AD133" i="3"/>
  <c r="P133" i="3"/>
  <c r="Q133" i="3" s="1"/>
  <c r="R133" i="3" s="1"/>
  <c r="Z133" i="3"/>
  <c r="A134" i="3"/>
  <c r="B134" i="3" s="1"/>
  <c r="AA133" i="3"/>
  <c r="AC133" i="3"/>
  <c r="S132" i="3"/>
  <c r="T131" i="3"/>
  <c r="I35" i="3"/>
  <c r="J35" i="3"/>
  <c r="M35" i="3"/>
  <c r="N35" i="3" s="1"/>
  <c r="V35" i="3"/>
  <c r="AE35" i="3"/>
  <c r="W35" i="3" l="1"/>
  <c r="AC134" i="3"/>
  <c r="AD134" i="3"/>
  <c r="AA134" i="3"/>
  <c r="A135" i="3"/>
  <c r="B135" i="3" s="1"/>
  <c r="P134" i="3"/>
  <c r="Q134" i="3" s="1"/>
  <c r="R134" i="3" s="1"/>
  <c r="Z134" i="3"/>
  <c r="L35" i="3"/>
  <c r="S133" i="3"/>
  <c r="T132" i="3"/>
  <c r="AD135" i="3" l="1"/>
  <c r="P135" i="3"/>
  <c r="Q135" i="3" s="1"/>
  <c r="R135" i="3" s="1"/>
  <c r="A136" i="3"/>
  <c r="B136" i="3" s="1"/>
  <c r="AA135" i="3"/>
  <c r="AC135" i="3"/>
  <c r="Z135" i="3"/>
  <c r="S134" i="3"/>
  <c r="T133" i="3"/>
  <c r="U35" i="3"/>
  <c r="E36" i="3" s="1"/>
  <c r="H36" i="3" s="1"/>
  <c r="AG36" i="3"/>
  <c r="AH36" i="3"/>
  <c r="Y34" i="3"/>
  <c r="K36" i="3" l="1"/>
  <c r="A137" i="3"/>
  <c r="B137" i="3" s="1"/>
  <c r="P136" i="3"/>
  <c r="Q136" i="3" s="1"/>
  <c r="R136" i="3" s="1"/>
  <c r="AA136" i="3"/>
  <c r="Z136" i="3"/>
  <c r="AD136" i="3"/>
  <c r="AC136" i="3"/>
  <c r="T134" i="3"/>
  <c r="S135" i="3"/>
  <c r="D36" i="3"/>
  <c r="T135" i="3" l="1"/>
  <c r="S136" i="3"/>
  <c r="F36" i="3"/>
  <c r="G36" i="3"/>
  <c r="P137" i="3"/>
  <c r="Q137" i="3" s="1"/>
  <c r="R137" i="3" s="1"/>
  <c r="Z137" i="3"/>
  <c r="AA137" i="3"/>
  <c r="AD137" i="3"/>
  <c r="AC137" i="3"/>
  <c r="A138" i="3"/>
  <c r="B138" i="3" s="1"/>
  <c r="V36" i="3"/>
  <c r="AE36" i="3"/>
  <c r="A139" i="3" l="1"/>
  <c r="B139" i="3" s="1"/>
  <c r="AC138" i="3"/>
  <c r="P138" i="3"/>
  <c r="Q138" i="3" s="1"/>
  <c r="R138" i="3" s="1"/>
  <c r="AA138" i="3"/>
  <c r="AD138" i="3"/>
  <c r="Z138" i="3"/>
  <c r="S137" i="3"/>
  <c r="T136" i="3"/>
  <c r="I36" i="3"/>
  <c r="W36" i="3" s="1"/>
  <c r="J36" i="3"/>
  <c r="M36" i="3"/>
  <c r="N36" i="3" s="1"/>
  <c r="L36" i="3" l="1"/>
  <c r="T137" i="3"/>
  <c r="S138" i="3"/>
  <c r="A140" i="3"/>
  <c r="B140" i="3" s="1"/>
  <c r="AA139" i="3"/>
  <c r="AD139" i="3"/>
  <c r="AC139" i="3"/>
  <c r="Z139" i="3"/>
  <c r="P139" i="3"/>
  <c r="Q139" i="3" s="1"/>
  <c r="R139" i="3" s="1"/>
  <c r="P140" i="3" l="1"/>
  <c r="Q140" i="3" s="1"/>
  <c r="R140" i="3" s="1"/>
  <c r="AD140" i="3"/>
  <c r="A141" i="3"/>
  <c r="B141" i="3" s="1"/>
  <c r="AA140" i="3"/>
  <c r="Z140" i="3"/>
  <c r="AC140" i="3"/>
  <c r="AH37" i="3"/>
  <c r="AG37" i="3"/>
  <c r="U36" i="3"/>
  <c r="E37" i="3" s="1"/>
  <c r="H37" i="3" s="1"/>
  <c r="Y35" i="3"/>
  <c r="S139" i="3"/>
  <c r="T138" i="3"/>
  <c r="D37" i="3" l="1"/>
  <c r="G37" i="3" s="1"/>
  <c r="A142" i="3"/>
  <c r="B142" i="3" s="1"/>
  <c r="P141" i="3"/>
  <c r="Q141" i="3" s="1"/>
  <c r="R141" i="3" s="1"/>
  <c r="AC141" i="3"/>
  <c r="Z141" i="3"/>
  <c r="AD141" i="3"/>
  <c r="AA141" i="3"/>
  <c r="K37" i="3"/>
  <c r="S140" i="3"/>
  <c r="T139" i="3"/>
  <c r="F37" i="3" l="1"/>
  <c r="A143" i="3"/>
  <c r="B143" i="3" s="1"/>
  <c r="AA142" i="3"/>
  <c r="P142" i="3"/>
  <c r="Q142" i="3" s="1"/>
  <c r="R142" i="3" s="1"/>
  <c r="AC142" i="3"/>
  <c r="AD142" i="3"/>
  <c r="Z142" i="3"/>
  <c r="I37" i="3"/>
  <c r="J37" i="3"/>
  <c r="M37" i="3"/>
  <c r="N37" i="3" s="1"/>
  <c r="V37" i="3"/>
  <c r="AE37" i="3"/>
  <c r="T140" i="3"/>
  <c r="S141" i="3"/>
  <c r="W37" i="3" l="1"/>
  <c r="P143" i="3"/>
  <c r="Q143" i="3" s="1"/>
  <c r="R143" i="3" s="1"/>
  <c r="AC143" i="3"/>
  <c r="A144" i="3"/>
  <c r="B144" i="3" s="1"/>
  <c r="AD143" i="3"/>
  <c r="AA143" i="3"/>
  <c r="Z143" i="3"/>
  <c r="T141" i="3"/>
  <c r="S142" i="3"/>
  <c r="L37" i="3"/>
  <c r="T142" i="3" l="1"/>
  <c r="S143" i="3"/>
  <c r="Z144" i="3"/>
  <c r="P144" i="3"/>
  <c r="Q144" i="3" s="1"/>
  <c r="R144" i="3" s="1"/>
  <c r="A145" i="3"/>
  <c r="B145" i="3" s="1"/>
  <c r="AA144" i="3"/>
  <c r="AC144" i="3"/>
  <c r="AD144" i="3"/>
  <c r="AH38" i="3"/>
  <c r="AG38" i="3"/>
  <c r="U37" i="3"/>
  <c r="D38" i="3" s="1"/>
  <c r="Y36" i="3"/>
  <c r="G38" i="3" l="1"/>
  <c r="P145" i="3"/>
  <c r="Q145" i="3" s="1"/>
  <c r="R145" i="3" s="1"/>
  <c r="A146" i="3"/>
  <c r="B146" i="3" s="1"/>
  <c r="Z145" i="3"/>
  <c r="AA145" i="3"/>
  <c r="AC145" i="3"/>
  <c r="AD145" i="3"/>
  <c r="T143" i="3"/>
  <c r="S144" i="3"/>
  <c r="E38" i="3"/>
  <c r="H38" i="3" s="1"/>
  <c r="Z146" i="3" l="1"/>
  <c r="A147" i="3"/>
  <c r="B147" i="3" s="1"/>
  <c r="AA146" i="3"/>
  <c r="AD146" i="3"/>
  <c r="P146" i="3"/>
  <c r="Q146" i="3" s="1"/>
  <c r="R146" i="3" s="1"/>
  <c r="AC146" i="3"/>
  <c r="K38" i="3"/>
  <c r="F38" i="3"/>
  <c r="I38" i="3"/>
  <c r="J38" i="3"/>
  <c r="M38" i="3"/>
  <c r="N38" i="3" s="1"/>
  <c r="T144" i="3"/>
  <c r="S145" i="3"/>
  <c r="Z147" i="3" l="1"/>
  <c r="P147" i="3"/>
  <c r="Q147" i="3" s="1"/>
  <c r="R147" i="3" s="1"/>
  <c r="AC147" i="3"/>
  <c r="A148" i="3"/>
  <c r="B148" i="3" s="1"/>
  <c r="AD147" i="3"/>
  <c r="AA147" i="3"/>
  <c r="S146" i="3"/>
  <c r="T145" i="3"/>
  <c r="L38" i="3"/>
  <c r="V38" i="3"/>
  <c r="W38" i="3" s="1"/>
  <c r="AE38" i="3"/>
  <c r="AD148" i="3" l="1"/>
  <c r="P148" i="3"/>
  <c r="Q148" i="3" s="1"/>
  <c r="R148" i="3" s="1"/>
  <c r="Z148" i="3"/>
  <c r="AC148" i="3"/>
  <c r="AA148" i="3"/>
  <c r="A149" i="3"/>
  <c r="B149" i="3" s="1"/>
  <c r="S147" i="3"/>
  <c r="T146" i="3"/>
  <c r="U38" i="3"/>
  <c r="D39" i="3" s="1"/>
  <c r="AG39" i="3"/>
  <c r="AH39" i="3"/>
  <c r="Y37" i="3"/>
  <c r="G39" i="3" l="1"/>
  <c r="AD149" i="3"/>
  <c r="AC149" i="3"/>
  <c r="P149" i="3"/>
  <c r="Q149" i="3" s="1"/>
  <c r="R149" i="3" s="1"/>
  <c r="AA149" i="3"/>
  <c r="Z149" i="3"/>
  <c r="A150" i="3"/>
  <c r="B150" i="3" s="1"/>
  <c r="T147" i="3"/>
  <c r="S148" i="3"/>
  <c r="E39" i="3"/>
  <c r="H39" i="3" s="1"/>
  <c r="AA150" i="3" l="1"/>
  <c r="P150" i="3"/>
  <c r="Q150" i="3" s="1"/>
  <c r="R150" i="3" s="1"/>
  <c r="Z150" i="3"/>
  <c r="AD150" i="3"/>
  <c r="AC150" i="3"/>
  <c r="A151" i="3"/>
  <c r="B151" i="3" s="1"/>
  <c r="F39" i="3"/>
  <c r="K39" i="3"/>
  <c r="I39" i="3"/>
  <c r="J39" i="3"/>
  <c r="M39" i="3"/>
  <c r="N39" i="3" s="1"/>
  <c r="T148" i="3"/>
  <c r="S149" i="3"/>
  <c r="S150" i="3" l="1"/>
  <c r="T149" i="3"/>
  <c r="P151" i="3"/>
  <c r="Q151" i="3" s="1"/>
  <c r="R151" i="3" s="1"/>
  <c r="AC151" i="3"/>
  <c r="AD151" i="3"/>
  <c r="Z151" i="3"/>
  <c r="A152" i="3"/>
  <c r="B152" i="3" s="1"/>
  <c r="AA151" i="3"/>
  <c r="L39" i="3"/>
  <c r="V39" i="3"/>
  <c r="W39" i="3" s="1"/>
  <c r="AE39" i="3"/>
  <c r="S151" i="3" l="1"/>
  <c r="T150" i="3"/>
  <c r="A153" i="3"/>
  <c r="B153" i="3" s="1"/>
  <c r="AC152" i="3"/>
  <c r="AA152" i="3"/>
  <c r="P152" i="3"/>
  <c r="Q152" i="3" s="1"/>
  <c r="R152" i="3" s="1"/>
  <c r="AD152" i="3"/>
  <c r="Z152" i="3"/>
  <c r="U39" i="3"/>
  <c r="E40" i="3" s="1"/>
  <c r="H40" i="3" s="1"/>
  <c r="AH40" i="3"/>
  <c r="AG40" i="3"/>
  <c r="Y38" i="3"/>
  <c r="D40" i="3" l="1"/>
  <c r="F40" i="3" s="1"/>
  <c r="A154" i="3"/>
  <c r="B154" i="3" s="1"/>
  <c r="P153" i="3"/>
  <c r="Q153" i="3" s="1"/>
  <c r="R153" i="3" s="1"/>
  <c r="AD153" i="3"/>
  <c r="Z153" i="3"/>
  <c r="AA153" i="3"/>
  <c r="AC153" i="3"/>
  <c r="S152" i="3"/>
  <c r="T151" i="3"/>
  <c r="K40" i="3"/>
  <c r="G40" i="3" l="1"/>
  <c r="M40" i="3" s="1"/>
  <c r="N40" i="3" s="1"/>
  <c r="P154" i="3"/>
  <c r="Q154" i="3" s="1"/>
  <c r="R154" i="3" s="1"/>
  <c r="AD154" i="3"/>
  <c r="Z154" i="3"/>
  <c r="AA154" i="3"/>
  <c r="A155" i="3"/>
  <c r="B155" i="3" s="1"/>
  <c r="AC154" i="3"/>
  <c r="S153" i="3"/>
  <c r="T152" i="3"/>
  <c r="V40" i="3"/>
  <c r="AE40" i="3"/>
  <c r="I40" i="3" l="1"/>
  <c r="W40" i="3" s="1"/>
  <c r="J40" i="3"/>
  <c r="L40" i="3" s="1"/>
  <c r="Z155" i="3"/>
  <c r="P155" i="3"/>
  <c r="Q155" i="3" s="1"/>
  <c r="R155" i="3" s="1"/>
  <c r="A156" i="3"/>
  <c r="B156" i="3" s="1"/>
  <c r="AD155" i="3"/>
  <c r="AC155" i="3"/>
  <c r="AA155" i="3"/>
  <c r="T153" i="3"/>
  <c r="S154" i="3"/>
  <c r="U40" i="3" l="1"/>
  <c r="D41" i="3" s="1"/>
  <c r="AG41" i="3"/>
  <c r="AH41" i="3"/>
  <c r="Y39" i="3"/>
  <c r="S155" i="3"/>
  <c r="T154" i="3"/>
  <c r="AA156" i="3"/>
  <c r="A157" i="3"/>
  <c r="B157" i="3" s="1"/>
  <c r="AD156" i="3"/>
  <c r="Z156" i="3"/>
  <c r="AC156" i="3"/>
  <c r="P156" i="3"/>
  <c r="Q156" i="3" s="1"/>
  <c r="R156" i="3" s="1"/>
  <c r="G41" i="3" l="1"/>
  <c r="A158" i="3"/>
  <c r="B158" i="3" s="1"/>
  <c r="AD157" i="3"/>
  <c r="P157" i="3"/>
  <c r="Q157" i="3" s="1"/>
  <c r="R157" i="3" s="1"/>
  <c r="AA157" i="3"/>
  <c r="Z157" i="3"/>
  <c r="AC157" i="3"/>
  <c r="E41" i="3"/>
  <c r="H41" i="3" s="1"/>
  <c r="T155" i="3"/>
  <c r="S156" i="3"/>
  <c r="F41" i="3" l="1"/>
  <c r="S157" i="3"/>
  <c r="T156" i="3"/>
  <c r="A159" i="3"/>
  <c r="B159" i="3" s="1"/>
  <c r="P158" i="3"/>
  <c r="Q158" i="3" s="1"/>
  <c r="R158" i="3" s="1"/>
  <c r="AA158" i="3"/>
  <c r="AC158" i="3"/>
  <c r="Z158" i="3"/>
  <c r="AD158" i="3"/>
  <c r="I41" i="3"/>
  <c r="J41" i="3"/>
  <c r="M41" i="3"/>
  <c r="N41" i="3" s="1"/>
  <c r="K41" i="3"/>
  <c r="V41" i="3" l="1"/>
  <c r="W41" i="3" s="1"/>
  <c r="AE41" i="3"/>
  <c r="L41" i="3"/>
  <c r="A160" i="3"/>
  <c r="B160" i="3" s="1"/>
  <c r="AC159" i="3"/>
  <c r="P159" i="3"/>
  <c r="Q159" i="3" s="1"/>
  <c r="R159" i="3" s="1"/>
  <c r="AD159" i="3"/>
  <c r="Z159" i="3"/>
  <c r="AA159" i="3"/>
  <c r="S158" i="3"/>
  <c r="T157" i="3"/>
  <c r="AA160" i="3" l="1"/>
  <c r="P160" i="3"/>
  <c r="Q160" i="3" s="1"/>
  <c r="R160" i="3" s="1"/>
  <c r="Z160" i="3"/>
  <c r="AC160" i="3"/>
  <c r="AD160" i="3"/>
  <c r="A161" i="3"/>
  <c r="B161" i="3" s="1"/>
  <c r="U41" i="3"/>
  <c r="E42" i="3" s="1"/>
  <c r="H42" i="3" s="1"/>
  <c r="AG42" i="3"/>
  <c r="AH42" i="3"/>
  <c r="Y40" i="3"/>
  <c r="T158" i="3"/>
  <c r="S159" i="3"/>
  <c r="D42" i="3" l="1"/>
  <c r="G42" i="3" s="1"/>
  <c r="Z161" i="3"/>
  <c r="AA161" i="3"/>
  <c r="P161" i="3"/>
  <c r="Q161" i="3" s="1"/>
  <c r="R161" i="3" s="1"/>
  <c r="A162" i="3"/>
  <c r="B162" i="3" s="1"/>
  <c r="AC161" i="3"/>
  <c r="AD161" i="3"/>
  <c r="S160" i="3"/>
  <c r="T159" i="3"/>
  <c r="K42" i="3"/>
  <c r="F42" i="3" l="1"/>
  <c r="AD162" i="3"/>
  <c r="Z162" i="3"/>
  <c r="P162" i="3"/>
  <c r="Q162" i="3" s="1"/>
  <c r="R162" i="3" s="1"/>
  <c r="AC162" i="3"/>
  <c r="AA162" i="3"/>
  <c r="A163" i="3"/>
  <c r="B163" i="3" s="1"/>
  <c r="V42" i="3"/>
  <c r="AE42" i="3"/>
  <c r="S161" i="3"/>
  <c r="T160" i="3"/>
  <c r="I42" i="3"/>
  <c r="J42" i="3"/>
  <c r="M42" i="3"/>
  <c r="N42" i="3" s="1"/>
  <c r="W42" i="3" l="1"/>
  <c r="L42" i="3"/>
  <c r="T161" i="3"/>
  <c r="S162" i="3"/>
  <c r="AD163" i="3"/>
  <c r="A164" i="3"/>
  <c r="B164" i="3" s="1"/>
  <c r="AC163" i="3"/>
  <c r="Z163" i="3"/>
  <c r="P163" i="3"/>
  <c r="Q163" i="3" s="1"/>
  <c r="R163" i="3" s="1"/>
  <c r="AA163" i="3"/>
  <c r="P164" i="3" l="1"/>
  <c r="Q164" i="3" s="1"/>
  <c r="R164" i="3" s="1"/>
  <c r="AA164" i="3"/>
  <c r="AD164" i="3"/>
  <c r="Z164" i="3"/>
  <c r="A165" i="3"/>
  <c r="B165" i="3" s="1"/>
  <c r="AC164" i="3"/>
  <c r="AG43" i="3"/>
  <c r="AH43" i="3"/>
  <c r="U42" i="3"/>
  <c r="E43" i="3" s="1"/>
  <c r="H43" i="3" s="1"/>
  <c r="Y41" i="3"/>
  <c r="S163" i="3"/>
  <c r="T162" i="3"/>
  <c r="K43" i="3" l="1"/>
  <c r="AD165" i="3"/>
  <c r="A166" i="3"/>
  <c r="B166" i="3" s="1"/>
  <c r="AA165" i="3"/>
  <c r="AC165" i="3"/>
  <c r="Z165" i="3"/>
  <c r="P165" i="3"/>
  <c r="Q165" i="3" s="1"/>
  <c r="R165" i="3" s="1"/>
  <c r="D43" i="3"/>
  <c r="S164" i="3"/>
  <c r="T163" i="3"/>
  <c r="A167" i="3" l="1"/>
  <c r="B167" i="3" s="1"/>
  <c r="AA166" i="3"/>
  <c r="AC166" i="3"/>
  <c r="P166" i="3"/>
  <c r="Q166" i="3" s="1"/>
  <c r="R166" i="3" s="1"/>
  <c r="AD166" i="3"/>
  <c r="Z166" i="3"/>
  <c r="T164" i="3"/>
  <c r="S165" i="3"/>
  <c r="V43" i="3"/>
  <c r="AE43" i="3"/>
  <c r="F43" i="3"/>
  <c r="G43" i="3"/>
  <c r="P167" i="3" l="1"/>
  <c r="Q167" i="3" s="1"/>
  <c r="R167" i="3" s="1"/>
  <c r="AA167" i="3"/>
  <c r="AC167" i="3"/>
  <c r="Z167" i="3"/>
  <c r="A168" i="3"/>
  <c r="B168" i="3" s="1"/>
  <c r="AD167" i="3"/>
  <c r="S166" i="3"/>
  <c r="T165" i="3"/>
  <c r="I43" i="3"/>
  <c r="W43" i="3" s="1"/>
  <c r="J43" i="3"/>
  <c r="M43" i="3"/>
  <c r="N43" i="3" s="1"/>
  <c r="A169" i="3" l="1"/>
  <c r="B169" i="3" s="1"/>
  <c r="Z168" i="3"/>
  <c r="P168" i="3"/>
  <c r="Q168" i="3" s="1"/>
  <c r="R168" i="3" s="1"/>
  <c r="AD168" i="3"/>
  <c r="AC168" i="3"/>
  <c r="AA168" i="3"/>
  <c r="L43" i="3"/>
  <c r="T166" i="3"/>
  <c r="S167" i="3"/>
  <c r="AD169" i="3" l="1"/>
  <c r="P169" i="3"/>
  <c r="Q169" i="3" s="1"/>
  <c r="R169" i="3" s="1"/>
  <c r="A170" i="3"/>
  <c r="B170" i="3" s="1"/>
  <c r="Z169" i="3"/>
  <c r="AA169" i="3"/>
  <c r="AC169" i="3"/>
  <c r="AG44" i="3"/>
  <c r="AH44" i="3"/>
  <c r="U43" i="3"/>
  <c r="E44" i="3" s="1"/>
  <c r="H44" i="3" s="1"/>
  <c r="Y42" i="3"/>
  <c r="S168" i="3"/>
  <c r="T167" i="3"/>
  <c r="D44" i="3" l="1"/>
  <c r="F44" i="3" s="1"/>
  <c r="K44" i="3"/>
  <c r="AA170" i="3"/>
  <c r="AC170" i="3"/>
  <c r="P170" i="3"/>
  <c r="Q170" i="3" s="1"/>
  <c r="R170" i="3" s="1"/>
  <c r="A171" i="3"/>
  <c r="B171" i="3" s="1"/>
  <c r="AD170" i="3"/>
  <c r="Z170" i="3"/>
  <c r="T168" i="3"/>
  <c r="S169" i="3"/>
  <c r="G44" i="3" l="1"/>
  <c r="J44" i="3" s="1"/>
  <c r="A172" i="3"/>
  <c r="B172" i="3" s="1"/>
  <c r="AD171" i="3"/>
  <c r="P171" i="3"/>
  <c r="Q171" i="3" s="1"/>
  <c r="R171" i="3" s="1"/>
  <c r="Z171" i="3"/>
  <c r="AA171" i="3"/>
  <c r="AC171" i="3"/>
  <c r="V44" i="3"/>
  <c r="AE44" i="3"/>
  <c r="T169" i="3"/>
  <c r="S170" i="3"/>
  <c r="M44" i="3" l="1"/>
  <c r="N44" i="3" s="1"/>
  <c r="I44" i="3"/>
  <c r="W44" i="3" s="1"/>
  <c r="A173" i="3"/>
  <c r="B173" i="3" s="1"/>
  <c r="AD172" i="3"/>
  <c r="P172" i="3"/>
  <c r="Q172" i="3" s="1"/>
  <c r="R172" i="3" s="1"/>
  <c r="AA172" i="3"/>
  <c r="AC172" i="3"/>
  <c r="Z172" i="3"/>
  <c r="T170" i="3"/>
  <c r="S171" i="3"/>
  <c r="L44" i="3"/>
  <c r="Z173" i="3" l="1"/>
  <c r="P173" i="3"/>
  <c r="Q173" i="3" s="1"/>
  <c r="R173" i="3" s="1"/>
  <c r="AD173" i="3"/>
  <c r="AA173" i="3"/>
  <c r="AC173" i="3"/>
  <c r="A174" i="3"/>
  <c r="B174" i="3" s="1"/>
  <c r="T171" i="3"/>
  <c r="S172" i="3"/>
  <c r="U44" i="3"/>
  <c r="E45" i="3" s="1"/>
  <c r="H45" i="3" s="1"/>
  <c r="AH45" i="3"/>
  <c r="AG45" i="3"/>
  <c r="Y43" i="3"/>
  <c r="D45" i="3" l="1"/>
  <c r="G45" i="3" s="1"/>
  <c r="K45" i="3"/>
  <c r="Z174" i="3"/>
  <c r="A175" i="3"/>
  <c r="B175" i="3" s="1"/>
  <c r="AD174" i="3"/>
  <c r="P174" i="3"/>
  <c r="Q174" i="3" s="1"/>
  <c r="R174" i="3" s="1"/>
  <c r="AA174" i="3"/>
  <c r="AC174" i="3"/>
  <c r="S173" i="3"/>
  <c r="T172" i="3"/>
  <c r="F45" i="3" l="1"/>
  <c r="P175" i="3"/>
  <c r="Q175" i="3" s="1"/>
  <c r="R175" i="3" s="1"/>
  <c r="A176" i="3"/>
  <c r="B176" i="3" s="1"/>
  <c r="AD175" i="3"/>
  <c r="AC175" i="3"/>
  <c r="AA175" i="3"/>
  <c r="Z175" i="3"/>
  <c r="I45" i="3"/>
  <c r="J45" i="3"/>
  <c r="M45" i="3"/>
  <c r="N45" i="3" s="1"/>
  <c r="S174" i="3"/>
  <c r="T173" i="3"/>
  <c r="V45" i="3"/>
  <c r="AE45" i="3"/>
  <c r="AD176" i="3" l="1"/>
  <c r="P176" i="3"/>
  <c r="Q176" i="3" s="1"/>
  <c r="R176" i="3" s="1"/>
  <c r="A177" i="3"/>
  <c r="B177" i="3" s="1"/>
  <c r="Z176" i="3"/>
  <c r="AC176" i="3"/>
  <c r="AA176" i="3"/>
  <c r="T174" i="3"/>
  <c r="S175" i="3"/>
  <c r="L45" i="3"/>
  <c r="W45" i="3"/>
  <c r="T175" i="3" l="1"/>
  <c r="S176" i="3"/>
  <c r="P177" i="3"/>
  <c r="Q177" i="3" s="1"/>
  <c r="R177" i="3" s="1"/>
  <c r="AA177" i="3"/>
  <c r="Z177" i="3"/>
  <c r="A178" i="3"/>
  <c r="B178" i="3" s="1"/>
  <c r="AC177" i="3"/>
  <c r="AD177" i="3"/>
  <c r="U45" i="3"/>
  <c r="D46" i="3" s="1"/>
  <c r="AG46" i="3"/>
  <c r="AH46" i="3"/>
  <c r="Y44" i="3"/>
  <c r="E46" i="3" l="1"/>
  <c r="H46" i="3" s="1"/>
  <c r="K46" i="3" s="1"/>
  <c r="G46" i="3"/>
  <c r="P178" i="3"/>
  <c r="Q178" i="3" s="1"/>
  <c r="R178" i="3" s="1"/>
  <c r="AA178" i="3"/>
  <c r="A179" i="3"/>
  <c r="B179" i="3" s="1"/>
  <c r="Z178" i="3"/>
  <c r="AD178" i="3"/>
  <c r="AC178" i="3"/>
  <c r="T176" i="3"/>
  <c r="S177" i="3"/>
  <c r="F46" i="3" l="1"/>
  <c r="P179" i="3"/>
  <c r="Q179" i="3" s="1"/>
  <c r="R179" i="3" s="1"/>
  <c r="A180" i="3"/>
  <c r="B180" i="3" s="1"/>
  <c r="AA179" i="3"/>
  <c r="Z179" i="3"/>
  <c r="AD179" i="3"/>
  <c r="AC179" i="3"/>
  <c r="I46" i="3"/>
  <c r="J46" i="3"/>
  <c r="M46" i="3"/>
  <c r="N46" i="3" s="1"/>
  <c r="V46" i="3"/>
  <c r="AE46" i="3"/>
  <c r="S178" i="3"/>
  <c r="T177" i="3"/>
  <c r="W46" i="3" l="1"/>
  <c r="AC180" i="3"/>
  <c r="A181" i="3"/>
  <c r="B181" i="3" s="1"/>
  <c r="AA180" i="3"/>
  <c r="AD180" i="3"/>
  <c r="Z180" i="3"/>
  <c r="P180" i="3"/>
  <c r="Q180" i="3" s="1"/>
  <c r="R180" i="3" s="1"/>
  <c r="T178" i="3"/>
  <c r="S179" i="3"/>
  <c r="L46" i="3"/>
  <c r="AA181" i="3" l="1"/>
  <c r="Z181" i="3"/>
  <c r="A182" i="3"/>
  <c r="B182" i="3" s="1"/>
  <c r="AD181" i="3"/>
  <c r="AC181" i="3"/>
  <c r="P181" i="3"/>
  <c r="Q181" i="3" s="1"/>
  <c r="R181" i="3" s="1"/>
  <c r="S180" i="3"/>
  <c r="T179" i="3"/>
  <c r="AG47" i="3"/>
  <c r="U46" i="3"/>
  <c r="D47" i="3" s="1"/>
  <c r="AH47" i="3"/>
  <c r="Y45" i="3"/>
  <c r="E47" i="3" l="1"/>
  <c r="H47" i="3" s="1"/>
  <c r="K47" i="3" s="1"/>
  <c r="A183" i="3"/>
  <c r="B183" i="3" s="1"/>
  <c r="AA182" i="3"/>
  <c r="P182" i="3"/>
  <c r="Q182" i="3" s="1"/>
  <c r="R182" i="3" s="1"/>
  <c r="Z182" i="3"/>
  <c r="AD182" i="3"/>
  <c r="AC182" i="3"/>
  <c r="T180" i="3"/>
  <c r="S181" i="3"/>
  <c r="G47" i="3"/>
  <c r="F47" i="3" l="1"/>
  <c r="Z183" i="3"/>
  <c r="AA183" i="3"/>
  <c r="AC183" i="3"/>
  <c r="A184" i="3"/>
  <c r="B184" i="3" s="1"/>
  <c r="P183" i="3"/>
  <c r="Q183" i="3" s="1"/>
  <c r="R183" i="3" s="1"/>
  <c r="AD183" i="3"/>
  <c r="S182" i="3"/>
  <c r="T181" i="3"/>
  <c r="I47" i="3"/>
  <c r="J47" i="3"/>
  <c r="M47" i="3"/>
  <c r="N47" i="3" s="1"/>
  <c r="V47" i="3"/>
  <c r="AE47" i="3"/>
  <c r="W47" i="3" l="1"/>
  <c r="AD184" i="3"/>
  <c r="Z184" i="3"/>
  <c r="P184" i="3"/>
  <c r="Q184" i="3" s="1"/>
  <c r="R184" i="3" s="1"/>
  <c r="AA184" i="3"/>
  <c r="A185" i="3"/>
  <c r="B185" i="3" s="1"/>
  <c r="AC184" i="3"/>
  <c r="L47" i="3"/>
  <c r="S183" i="3"/>
  <c r="T182" i="3"/>
  <c r="AD185" i="3" l="1"/>
  <c r="A186" i="3"/>
  <c r="B186" i="3" s="1"/>
  <c r="AC185" i="3"/>
  <c r="P185" i="3"/>
  <c r="Q185" i="3" s="1"/>
  <c r="R185" i="3" s="1"/>
  <c r="AA185" i="3"/>
  <c r="Z185" i="3"/>
  <c r="AG48" i="3"/>
  <c r="U47" i="3"/>
  <c r="E48" i="3" s="1"/>
  <c r="H48" i="3" s="1"/>
  <c r="AH48" i="3"/>
  <c r="Y46" i="3"/>
  <c r="S184" i="3"/>
  <c r="T183" i="3"/>
  <c r="AD186" i="3" l="1"/>
  <c r="Z186" i="3"/>
  <c r="A187" i="3"/>
  <c r="B187" i="3" s="1"/>
  <c r="P186" i="3"/>
  <c r="Q186" i="3" s="1"/>
  <c r="R186" i="3" s="1"/>
  <c r="AA186" i="3"/>
  <c r="AC186" i="3"/>
  <c r="K48" i="3"/>
  <c r="D48" i="3"/>
  <c r="T184" i="3"/>
  <c r="S185" i="3"/>
  <c r="P187" i="3" l="1"/>
  <c r="Q187" i="3" s="1"/>
  <c r="R187" i="3" s="1"/>
  <c r="AD187" i="3"/>
  <c r="A188" i="3"/>
  <c r="B188" i="3" s="1"/>
  <c r="AA187" i="3"/>
  <c r="AC187" i="3"/>
  <c r="Z187" i="3"/>
  <c r="S186" i="3"/>
  <c r="T185" i="3"/>
  <c r="V48" i="3"/>
  <c r="AE48" i="3"/>
  <c r="F48" i="3"/>
  <c r="G48" i="3"/>
  <c r="S187" i="3" l="1"/>
  <c r="T186" i="3"/>
  <c r="Z188" i="3"/>
  <c r="A189" i="3"/>
  <c r="B189" i="3" s="1"/>
  <c r="AA188" i="3"/>
  <c r="P188" i="3"/>
  <c r="Q188" i="3" s="1"/>
  <c r="R188" i="3" s="1"/>
  <c r="AD188" i="3"/>
  <c r="AC188" i="3"/>
  <c r="I48" i="3"/>
  <c r="W48" i="3" s="1"/>
  <c r="J48" i="3"/>
  <c r="M48" i="3"/>
  <c r="N48" i="3" s="1"/>
  <c r="Z189" i="3" l="1"/>
  <c r="P189" i="3"/>
  <c r="Q189" i="3" s="1"/>
  <c r="R189" i="3" s="1"/>
  <c r="A190" i="3"/>
  <c r="B190" i="3" s="1"/>
  <c r="AC189" i="3"/>
  <c r="AA189" i="3"/>
  <c r="AD189" i="3"/>
  <c r="S188" i="3"/>
  <c r="T187" i="3"/>
  <c r="L48" i="3"/>
  <c r="AC190" i="3" l="1"/>
  <c r="P190" i="3"/>
  <c r="Q190" i="3" s="1"/>
  <c r="R190" i="3" s="1"/>
  <c r="Z190" i="3"/>
  <c r="A191" i="3"/>
  <c r="B191" i="3" s="1"/>
  <c r="AD190" i="3"/>
  <c r="AA190" i="3"/>
  <c r="S189" i="3"/>
  <c r="T188" i="3"/>
  <c r="AH49" i="3"/>
  <c r="U48" i="3"/>
  <c r="E49" i="3" s="1"/>
  <c r="H49" i="3" s="1"/>
  <c r="AG49" i="3"/>
  <c r="Y47" i="3"/>
  <c r="D49" i="3" l="1"/>
  <c r="G49" i="3" s="1"/>
  <c r="K49" i="3"/>
  <c r="Z191" i="3"/>
  <c r="P191" i="3"/>
  <c r="Q191" i="3" s="1"/>
  <c r="R191" i="3" s="1"/>
  <c r="AA191" i="3"/>
  <c r="AC191" i="3"/>
  <c r="A192" i="3"/>
  <c r="B192" i="3" s="1"/>
  <c r="AD191" i="3"/>
  <c r="S190" i="3"/>
  <c r="T189" i="3"/>
  <c r="F49" i="3" l="1"/>
  <c r="P192" i="3"/>
  <c r="Q192" i="3" s="1"/>
  <c r="R192" i="3" s="1"/>
  <c r="Z192" i="3"/>
  <c r="AD192" i="3"/>
  <c r="AA192" i="3"/>
  <c r="A193" i="3"/>
  <c r="B193" i="3" s="1"/>
  <c r="AC192" i="3"/>
  <c r="V49" i="3"/>
  <c r="AE49" i="3"/>
  <c r="I49" i="3"/>
  <c r="J49" i="3"/>
  <c r="M49" i="3"/>
  <c r="N49" i="3" s="1"/>
  <c r="S191" i="3"/>
  <c r="T190" i="3"/>
  <c r="W49" i="3" l="1"/>
  <c r="Z193" i="3"/>
  <c r="AC193" i="3"/>
  <c r="AA193" i="3"/>
  <c r="AD193" i="3"/>
  <c r="P193" i="3"/>
  <c r="Q193" i="3" s="1"/>
  <c r="R193" i="3" s="1"/>
  <c r="A194" i="3"/>
  <c r="B194" i="3" s="1"/>
  <c r="S192" i="3"/>
  <c r="T191" i="3"/>
  <c r="L49" i="3"/>
  <c r="T192" i="3" l="1"/>
  <c r="S193" i="3"/>
  <c r="AD194" i="3"/>
  <c r="P194" i="3"/>
  <c r="Q194" i="3" s="1"/>
  <c r="R194" i="3" s="1"/>
  <c r="AA194" i="3"/>
  <c r="A195" i="3"/>
  <c r="B195" i="3" s="1"/>
  <c r="AC194" i="3"/>
  <c r="Z194" i="3"/>
  <c r="AG50" i="3"/>
  <c r="AH50" i="3"/>
  <c r="U49" i="3"/>
  <c r="D50" i="3" s="1"/>
  <c r="Y48" i="3"/>
  <c r="E50" i="3" l="1"/>
  <c r="H50" i="3" s="1"/>
  <c r="K50" i="3" s="1"/>
  <c r="G50" i="3"/>
  <c r="S194" i="3"/>
  <c r="T193" i="3"/>
  <c r="Z195" i="3"/>
  <c r="AA195" i="3"/>
  <c r="P195" i="3"/>
  <c r="Q195" i="3" s="1"/>
  <c r="R195" i="3" s="1"/>
  <c r="A196" i="3"/>
  <c r="B196" i="3" s="1"/>
  <c r="AC195" i="3"/>
  <c r="AD195" i="3"/>
  <c r="F50" i="3" l="1"/>
  <c r="P196" i="3"/>
  <c r="Q196" i="3" s="1"/>
  <c r="R196" i="3" s="1"/>
  <c r="A197" i="3"/>
  <c r="B197" i="3" s="1"/>
  <c r="Z196" i="3"/>
  <c r="AC196" i="3"/>
  <c r="AA196" i="3"/>
  <c r="AD196" i="3"/>
  <c r="S195" i="3"/>
  <c r="T194" i="3"/>
  <c r="I50" i="3"/>
  <c r="J50" i="3"/>
  <c r="M50" i="3"/>
  <c r="N50" i="3" s="1"/>
  <c r="V50" i="3"/>
  <c r="AE50" i="3"/>
  <c r="L50" i="3" l="1"/>
  <c r="S196" i="3"/>
  <c r="T195" i="3"/>
  <c r="AD197" i="3"/>
  <c r="P197" i="3"/>
  <c r="Q197" i="3" s="1"/>
  <c r="R197" i="3" s="1"/>
  <c r="AA197" i="3"/>
  <c r="A198" i="3"/>
  <c r="B198" i="3" s="1"/>
  <c r="Z197" i="3"/>
  <c r="AC197" i="3"/>
  <c r="W50" i="3"/>
  <c r="P198" i="3" l="1"/>
  <c r="Q198" i="3" s="1"/>
  <c r="R198" i="3" s="1"/>
  <c r="A199" i="3"/>
  <c r="B199" i="3" s="1"/>
  <c r="AA198" i="3"/>
  <c r="Z198" i="3"/>
  <c r="AC198" i="3"/>
  <c r="AD198" i="3"/>
  <c r="U50" i="3"/>
  <c r="D51" i="3" s="1"/>
  <c r="AH51" i="3"/>
  <c r="AG51" i="3"/>
  <c r="Y49" i="3"/>
  <c r="S197" i="3"/>
  <c r="T196" i="3"/>
  <c r="E51" i="3" l="1"/>
  <c r="H51" i="3" s="1"/>
  <c r="K51" i="3" s="1"/>
  <c r="AD199" i="3"/>
  <c r="P199" i="3"/>
  <c r="Q199" i="3" s="1"/>
  <c r="R199" i="3" s="1"/>
  <c r="A200" i="3"/>
  <c r="B200" i="3" s="1"/>
  <c r="AC199" i="3"/>
  <c r="AA199" i="3"/>
  <c r="Z199" i="3"/>
  <c r="G51" i="3"/>
  <c r="T197" i="3"/>
  <c r="S198" i="3"/>
  <c r="F51" i="3" l="1"/>
  <c r="AA200" i="3"/>
  <c r="A201" i="3"/>
  <c r="B201" i="3" s="1"/>
  <c r="AC200" i="3"/>
  <c r="Z200" i="3"/>
  <c r="P200" i="3"/>
  <c r="Q200" i="3" s="1"/>
  <c r="R200" i="3" s="1"/>
  <c r="AD200" i="3"/>
  <c r="V51" i="3"/>
  <c r="AE51" i="3"/>
  <c r="I51" i="3"/>
  <c r="J51" i="3"/>
  <c r="M51" i="3"/>
  <c r="N51" i="3" s="1"/>
  <c r="T198" i="3"/>
  <c r="S199" i="3"/>
  <c r="W51" i="3" l="1"/>
  <c r="A202" i="3"/>
  <c r="B202" i="3" s="1"/>
  <c r="AC201" i="3"/>
  <c r="Z201" i="3"/>
  <c r="AD201" i="3"/>
  <c r="P201" i="3"/>
  <c r="Q201" i="3" s="1"/>
  <c r="R201" i="3" s="1"/>
  <c r="AA201" i="3"/>
  <c r="L51" i="3"/>
  <c r="S200" i="3"/>
  <c r="T199" i="3"/>
  <c r="AD202" i="3" l="1"/>
  <c r="P202" i="3"/>
  <c r="Q202" i="3" s="1"/>
  <c r="R202" i="3" s="1"/>
  <c r="AA202" i="3"/>
  <c r="AC202" i="3"/>
  <c r="Z202" i="3"/>
  <c r="A203" i="3"/>
  <c r="B203" i="3" s="1"/>
  <c r="AH52" i="3"/>
  <c r="AG52" i="3"/>
  <c r="U51" i="3"/>
  <c r="E52" i="3" s="1"/>
  <c r="H52" i="3" s="1"/>
  <c r="Y50" i="3"/>
  <c r="S201" i="3"/>
  <c r="T200" i="3"/>
  <c r="D52" i="3" l="1"/>
  <c r="G52" i="3" s="1"/>
  <c r="K52" i="3"/>
  <c r="Z203" i="3"/>
  <c r="P203" i="3"/>
  <c r="Q203" i="3" s="1"/>
  <c r="R203" i="3" s="1"/>
  <c r="AD203" i="3"/>
  <c r="AA203" i="3"/>
  <c r="A204" i="3"/>
  <c r="B204" i="3" s="1"/>
  <c r="AC203" i="3"/>
  <c r="S202" i="3"/>
  <c r="T201" i="3"/>
  <c r="F52" i="3" l="1"/>
  <c r="P204" i="3"/>
  <c r="Q204" i="3" s="1"/>
  <c r="R204" i="3" s="1"/>
  <c r="Z204" i="3"/>
  <c r="AA204" i="3"/>
  <c r="AC204" i="3"/>
  <c r="S203" i="3"/>
  <c r="T202" i="3"/>
  <c r="V52" i="3"/>
  <c r="AE52" i="3"/>
  <c r="I52" i="3"/>
  <c r="J52" i="3"/>
  <c r="M52" i="3"/>
  <c r="N52" i="3" s="1"/>
  <c r="S204" i="3" l="1"/>
  <c r="T203" i="3"/>
  <c r="L52" i="3"/>
  <c r="W52" i="3"/>
  <c r="T204" i="3" l="1"/>
  <c r="AH53" i="3"/>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D104" i="3"/>
  <c r="V104" i="3" l="1"/>
  <c r="AE104" i="3"/>
  <c r="F104" i="3"/>
  <c r="G104" i="3"/>
  <c r="I104" i="3" l="1"/>
  <c r="W104" i="3" s="1"/>
  <c r="J104" i="3"/>
  <c r="M104" i="3"/>
  <c r="N104" i="3" s="1"/>
  <c r="L104" i="3" l="1"/>
  <c r="AD104" i="3"/>
  <c r="U104" i="3" l="1"/>
  <c r="E105" i="3" s="1"/>
  <c r="H105" i="3" s="1"/>
  <c r="AG105" i="3"/>
  <c r="AH105" i="3"/>
  <c r="Y103" i="3"/>
  <c r="D105" i="3" l="1"/>
  <c r="G105" i="3" s="1"/>
  <c r="K105" i="3"/>
  <c r="F105" i="3" l="1"/>
  <c r="V105" i="3"/>
  <c r="AE105" i="3"/>
  <c r="I105" i="3"/>
  <c r="J105" i="3"/>
  <c r="M105" i="3"/>
  <c r="N105" i="3" s="1"/>
  <c r="W105" i="3" l="1"/>
  <c r="L105" i="3"/>
  <c r="AH106" i="3" l="1"/>
  <c r="AG106" i="3"/>
  <c r="U105" i="3"/>
  <c r="D106" i="3" s="1"/>
  <c r="Y104" i="3"/>
  <c r="E106" i="3" l="1"/>
  <c r="H106" i="3" s="1"/>
  <c r="K106" i="3" s="1"/>
  <c r="G106" i="3"/>
  <c r="F106" i="3" l="1"/>
  <c r="V106" i="3"/>
  <c r="AE106" i="3"/>
  <c r="I106" i="3"/>
  <c r="J106" i="3"/>
  <c r="M106" i="3"/>
  <c r="N106" i="3" s="1"/>
  <c r="W106" i="3" l="1"/>
  <c r="L106" i="3"/>
  <c r="AG107" i="3" l="1"/>
  <c r="AH107" i="3"/>
  <c r="U106" i="3"/>
  <c r="E107" i="3" s="1"/>
  <c r="H107" i="3" s="1"/>
  <c r="Y105" i="3"/>
  <c r="K107" i="3" l="1"/>
  <c r="D107" i="3"/>
  <c r="V107" i="3" l="1"/>
  <c r="AE107" i="3"/>
  <c r="F107" i="3"/>
  <c r="G107" i="3"/>
  <c r="I107" i="3" l="1"/>
  <c r="W107" i="3" s="1"/>
  <c r="J107" i="3"/>
  <c r="M107" i="3"/>
  <c r="N107" i="3" s="1"/>
  <c r="L107" i="3" l="1"/>
  <c r="AH108" i="3" l="1"/>
  <c r="U107" i="3"/>
  <c r="E108" i="3" s="1"/>
  <c r="H108" i="3" s="1"/>
  <c r="AG108" i="3"/>
  <c r="Y106" i="3"/>
  <c r="D108" i="3" l="1"/>
  <c r="G108" i="3" s="1"/>
  <c r="K108" i="3"/>
  <c r="F108" i="3" l="1"/>
  <c r="I108" i="3"/>
  <c r="J108" i="3"/>
  <c r="M108" i="3"/>
  <c r="N108" i="3" s="1"/>
  <c r="V108" i="3"/>
  <c r="AE108" i="3"/>
  <c r="W108" i="3" l="1"/>
  <c r="L108" i="3"/>
  <c r="AG109" i="3" l="1"/>
  <c r="U108" i="3"/>
  <c r="D109" i="3" s="1"/>
  <c r="AH109" i="3"/>
  <c r="Y107" i="3"/>
  <c r="E109" i="3" l="1"/>
  <c r="H109" i="3" s="1"/>
  <c r="K109" i="3" s="1"/>
  <c r="G109" i="3"/>
  <c r="F109" i="3" l="1"/>
  <c r="V109" i="3"/>
  <c r="AE109" i="3"/>
  <c r="I109" i="3"/>
  <c r="J109" i="3"/>
  <c r="M109" i="3"/>
  <c r="N109" i="3" s="1"/>
  <c r="L109" i="3" l="1"/>
  <c r="W109" i="3"/>
  <c r="AH110" i="3" l="1"/>
  <c r="AG110" i="3"/>
  <c r="U109" i="3"/>
  <c r="D110" i="3" s="1"/>
  <c r="Y108" i="3"/>
  <c r="E110" i="3" l="1"/>
  <c r="H110" i="3" s="1"/>
  <c r="K110" i="3" s="1"/>
  <c r="G110" i="3"/>
  <c r="F110" i="3" l="1"/>
  <c r="I110" i="3"/>
  <c r="J110" i="3"/>
  <c r="M110" i="3"/>
  <c r="N110" i="3" s="1"/>
  <c r="V110" i="3"/>
  <c r="AE110" i="3"/>
  <c r="W110" i="3" l="1"/>
  <c r="L110" i="3"/>
  <c r="AH111" i="3" l="1"/>
  <c r="U110" i="3"/>
  <c r="E111" i="3" s="1"/>
  <c r="H111" i="3" s="1"/>
  <c r="AG111" i="3"/>
  <c r="Y109" i="3"/>
  <c r="D111" i="3" l="1"/>
  <c r="G111" i="3" s="1"/>
  <c r="K111" i="3"/>
  <c r="F111" i="3" l="1"/>
  <c r="I111" i="3"/>
  <c r="J111" i="3"/>
  <c r="M111" i="3"/>
  <c r="N111" i="3" s="1"/>
  <c r="V111" i="3"/>
  <c r="AE111" i="3"/>
  <c r="W111" i="3" l="1"/>
  <c r="L111" i="3"/>
  <c r="AH112" i="3" l="1"/>
  <c r="U111" i="3"/>
  <c r="D112" i="3" s="1"/>
  <c r="AG112" i="3"/>
  <c r="Y110" i="3"/>
  <c r="E112" i="3" l="1"/>
  <c r="H112" i="3" s="1"/>
  <c r="K112" i="3" s="1"/>
  <c r="G112" i="3"/>
  <c r="F112" i="3" l="1"/>
  <c r="V112" i="3"/>
  <c r="AE112" i="3"/>
  <c r="I112" i="3"/>
  <c r="J112" i="3"/>
  <c r="M112" i="3"/>
  <c r="N112" i="3" s="1"/>
  <c r="W112" i="3" l="1"/>
  <c r="L112" i="3"/>
  <c r="AG113" i="3" l="1"/>
  <c r="U112" i="3"/>
  <c r="E113" i="3" s="1"/>
  <c r="H113" i="3" s="1"/>
  <c r="AH113" i="3"/>
  <c r="Y111" i="3"/>
  <c r="D113" i="3" l="1"/>
  <c r="G113" i="3" s="1"/>
  <c r="K113" i="3"/>
  <c r="F113" i="3" l="1"/>
  <c r="V113" i="3"/>
  <c r="AE113" i="3"/>
  <c r="I113" i="3"/>
  <c r="J113" i="3"/>
  <c r="M113" i="3"/>
  <c r="N113" i="3" s="1"/>
  <c r="W113" i="3" l="1"/>
  <c r="L113" i="3"/>
  <c r="AH114" i="3" l="1"/>
  <c r="U113" i="3"/>
  <c r="D114" i="3" s="1"/>
  <c r="AG114" i="3"/>
  <c r="Y112" i="3"/>
  <c r="E114" i="3" l="1"/>
  <c r="H114" i="3" s="1"/>
  <c r="K114" i="3" s="1"/>
  <c r="G114" i="3"/>
  <c r="F114" i="3" l="1"/>
  <c r="I114" i="3"/>
  <c r="J114" i="3"/>
  <c r="M114" i="3"/>
  <c r="N114" i="3" s="1"/>
  <c r="V114" i="3"/>
  <c r="AE114" i="3"/>
  <c r="W114" i="3" l="1"/>
  <c r="L114" i="3"/>
  <c r="U114" i="3" l="1"/>
  <c r="D115" i="3" s="1"/>
  <c r="AH115" i="3"/>
  <c r="AG115" i="3"/>
  <c r="Y113" i="3"/>
  <c r="G115" i="3" l="1"/>
  <c r="E115" i="3"/>
  <c r="H115" i="3" s="1"/>
  <c r="F115" i="3" l="1"/>
  <c r="I115" i="3"/>
  <c r="J115" i="3"/>
  <c r="M115" i="3"/>
  <c r="N115" i="3" s="1"/>
  <c r="K115" i="3"/>
  <c r="V115" i="3" l="1"/>
  <c r="W115" i="3" s="1"/>
  <c r="AE115" i="3"/>
  <c r="L115" i="3"/>
  <c r="AH116" i="3" l="1"/>
  <c r="U115" i="3"/>
  <c r="E116" i="3" s="1"/>
  <c r="H116" i="3" s="1"/>
  <c r="AG116" i="3"/>
  <c r="Y114" i="3"/>
  <c r="K116" i="3" l="1"/>
  <c r="D116" i="3"/>
  <c r="V116" i="3" l="1"/>
  <c r="AE116" i="3"/>
  <c r="F116" i="3"/>
  <c r="G116" i="3"/>
  <c r="I116" i="3" l="1"/>
  <c r="W116" i="3" s="1"/>
  <c r="J116" i="3"/>
  <c r="M116" i="3"/>
  <c r="N116" i="3" s="1"/>
  <c r="L116" i="3" l="1"/>
  <c r="U116" i="3" l="1"/>
  <c r="D117" i="3" s="1"/>
  <c r="AH117" i="3"/>
  <c r="AG117" i="3"/>
  <c r="Y115" i="3"/>
  <c r="E117" i="3" l="1"/>
  <c r="H117" i="3" s="1"/>
  <c r="K117" i="3" s="1"/>
  <c r="G117" i="3"/>
  <c r="F117" i="3" l="1"/>
  <c r="I117" i="3"/>
  <c r="J117" i="3"/>
  <c r="M117" i="3"/>
  <c r="N117" i="3" s="1"/>
  <c r="V117" i="3"/>
  <c r="AE117" i="3"/>
  <c r="W117" i="3" l="1"/>
  <c r="L117" i="3"/>
  <c r="AG118" i="3" l="1"/>
  <c r="U117" i="3"/>
  <c r="D118" i="3" s="1"/>
  <c r="AH118" i="3"/>
  <c r="Y116" i="3"/>
  <c r="E118" i="3" l="1"/>
  <c r="H118" i="3" s="1"/>
  <c r="K118" i="3" s="1"/>
  <c r="G118" i="3"/>
  <c r="F118" i="3" l="1"/>
  <c r="I118" i="3"/>
  <c r="J118" i="3"/>
  <c r="M118" i="3"/>
  <c r="N118" i="3" s="1"/>
  <c r="V118" i="3"/>
  <c r="AE118" i="3"/>
  <c r="L118" i="3" l="1"/>
  <c r="W118" i="3"/>
  <c r="U118" i="3" l="1"/>
  <c r="E119" i="3" s="1"/>
  <c r="H119" i="3" s="1"/>
  <c r="AG119" i="3"/>
  <c r="AH119" i="3"/>
  <c r="Y117" i="3"/>
  <c r="D119" i="3" l="1"/>
  <c r="F119" i="3" s="1"/>
  <c r="K119" i="3"/>
  <c r="G119" i="3" l="1"/>
  <c r="M119" i="3" s="1"/>
  <c r="N119" i="3" s="1"/>
  <c r="V119" i="3"/>
  <c r="AE119" i="3"/>
  <c r="I119" i="3" l="1"/>
  <c r="W119" i="3" s="1"/>
  <c r="J119" i="3"/>
  <c r="L119" i="3" s="1"/>
  <c r="AH120" i="3" l="1"/>
  <c r="U119" i="3"/>
  <c r="D120" i="3" s="1"/>
  <c r="AG120" i="3"/>
  <c r="Y118" i="3"/>
  <c r="E120" i="3" l="1"/>
  <c r="H120" i="3" s="1"/>
  <c r="K120" i="3" s="1"/>
  <c r="G120" i="3"/>
  <c r="F120" i="3" l="1"/>
  <c r="I120" i="3"/>
  <c r="J120" i="3"/>
  <c r="M120" i="3"/>
  <c r="N120" i="3" s="1"/>
  <c r="V120" i="3"/>
  <c r="AE120" i="3"/>
  <c r="W120" i="3" l="1"/>
  <c r="L120" i="3"/>
  <c r="U120" i="3" l="1"/>
  <c r="E121" i="3" s="1"/>
  <c r="H121" i="3" s="1"/>
  <c r="AH121" i="3"/>
  <c r="AG121" i="3"/>
  <c r="Y119" i="3"/>
  <c r="D121" i="3" l="1"/>
  <c r="G121" i="3" s="1"/>
  <c r="K121" i="3"/>
  <c r="F121" i="3" l="1"/>
  <c r="I121" i="3"/>
  <c r="J121" i="3"/>
  <c r="M121" i="3"/>
  <c r="N121" i="3" s="1"/>
  <c r="V121" i="3"/>
  <c r="AE121" i="3"/>
  <c r="L121" i="3" l="1"/>
  <c r="W121" i="3"/>
  <c r="U121" i="3" l="1"/>
  <c r="D122" i="3" s="1"/>
  <c r="AG122" i="3"/>
  <c r="AH122" i="3"/>
  <c r="Y120" i="3"/>
  <c r="G122" i="3" l="1"/>
  <c r="E122" i="3"/>
  <c r="H122" i="3" s="1"/>
  <c r="F122" i="3" l="1"/>
  <c r="K122" i="3"/>
  <c r="I122" i="3"/>
  <c r="J122" i="3"/>
  <c r="M122" i="3"/>
  <c r="N122" i="3" s="1"/>
  <c r="L122" i="3" l="1"/>
  <c r="V122" i="3"/>
  <c r="W122" i="3" s="1"/>
  <c r="AE122" i="3"/>
  <c r="U122" i="3" l="1"/>
  <c r="D123" i="3" s="1"/>
  <c r="AH123" i="3"/>
  <c r="AG123" i="3"/>
  <c r="Y121" i="3"/>
  <c r="G123" i="3" l="1"/>
  <c r="E123" i="3"/>
  <c r="H123" i="3" s="1"/>
  <c r="I123" i="3" l="1"/>
  <c r="J123" i="3"/>
  <c r="M123" i="3"/>
  <c r="N123" i="3" s="1"/>
  <c r="K123" i="3"/>
  <c r="F123" i="3"/>
  <c r="V123" i="3" l="1"/>
  <c r="W123" i="3" s="1"/>
  <c r="AE123" i="3"/>
  <c r="L123" i="3"/>
  <c r="U123" i="3" l="1"/>
  <c r="D124" i="3" s="1"/>
  <c r="AH124" i="3"/>
  <c r="AG124" i="3"/>
  <c r="Y122" i="3"/>
  <c r="E124" i="3" l="1"/>
  <c r="H124" i="3" s="1"/>
  <c r="K124" i="3" s="1"/>
  <c r="G124" i="3"/>
  <c r="F124" i="3" l="1"/>
  <c r="I124" i="3"/>
  <c r="J124" i="3"/>
  <c r="M124" i="3"/>
  <c r="N124" i="3" s="1"/>
  <c r="V124" i="3"/>
  <c r="AE124" i="3"/>
  <c r="W124" i="3" l="1"/>
  <c r="L124" i="3"/>
  <c r="U124" i="3" l="1"/>
  <c r="E125" i="3" s="1"/>
  <c r="H125" i="3" s="1"/>
  <c r="AH125" i="3"/>
  <c r="AG125" i="3"/>
  <c r="Y123" i="3"/>
  <c r="K125" i="3" l="1"/>
  <c r="D125" i="3"/>
  <c r="V125" i="3" l="1"/>
  <c r="AE125" i="3"/>
  <c r="F125" i="3"/>
  <c r="G125" i="3"/>
  <c r="I125" i="3" l="1"/>
  <c r="W125" i="3" s="1"/>
  <c r="J125" i="3"/>
  <c r="M125" i="3"/>
  <c r="N125" i="3" s="1"/>
  <c r="L125" i="3" l="1"/>
  <c r="AG126" i="3" l="1"/>
  <c r="AH126" i="3"/>
  <c r="U125" i="3"/>
  <c r="D126" i="3" s="1"/>
  <c r="Y124" i="3"/>
  <c r="E126" i="3" l="1"/>
  <c r="H126" i="3" s="1"/>
  <c r="K126" i="3" s="1"/>
  <c r="G126" i="3"/>
  <c r="F126" i="3" l="1"/>
  <c r="I126" i="3"/>
  <c r="J126" i="3"/>
  <c r="M126" i="3"/>
  <c r="N126" i="3" s="1"/>
  <c r="V126" i="3"/>
  <c r="AE126" i="3"/>
  <c r="W126" i="3" l="1"/>
  <c r="L126" i="3"/>
  <c r="U126" i="3" l="1"/>
  <c r="E127" i="3" s="1"/>
  <c r="H127" i="3" s="1"/>
  <c r="AH127" i="3"/>
  <c r="AG127" i="3"/>
  <c r="Y125" i="3"/>
  <c r="D127" i="3" l="1"/>
  <c r="G127" i="3" s="1"/>
  <c r="K127" i="3"/>
  <c r="F127" i="3" l="1"/>
  <c r="I127" i="3"/>
  <c r="J127" i="3"/>
  <c r="M127" i="3"/>
  <c r="N127" i="3" s="1"/>
  <c r="V127" i="3"/>
  <c r="AE127" i="3"/>
  <c r="W127" i="3" l="1"/>
  <c r="L127" i="3"/>
  <c r="AH128" i="3" l="1"/>
  <c r="U127" i="3"/>
  <c r="E128" i="3" s="1"/>
  <c r="H128" i="3" s="1"/>
  <c r="AG128" i="3"/>
  <c r="Y126" i="3"/>
  <c r="D128" i="3" l="1"/>
  <c r="G128" i="3" s="1"/>
  <c r="K128" i="3"/>
  <c r="F128" i="3" l="1"/>
  <c r="I128" i="3"/>
  <c r="J128" i="3"/>
  <c r="M128" i="3"/>
  <c r="N128" i="3" s="1"/>
  <c r="V128" i="3"/>
  <c r="AE128" i="3"/>
  <c r="W128" i="3" l="1"/>
  <c r="L128" i="3"/>
  <c r="AH129" i="3" l="1"/>
  <c r="U128" i="3"/>
  <c r="D129" i="3" s="1"/>
  <c r="AG129" i="3"/>
  <c r="Y127" i="3"/>
  <c r="G129" i="3" l="1"/>
  <c r="E129" i="3"/>
  <c r="H129" i="3" s="1"/>
  <c r="F129" i="3" l="1"/>
  <c r="I129" i="3"/>
  <c r="J129" i="3"/>
  <c r="M129" i="3"/>
  <c r="N129" i="3" s="1"/>
  <c r="K129" i="3"/>
  <c r="V129" i="3" l="1"/>
  <c r="W129" i="3" s="1"/>
  <c r="AE129" i="3"/>
  <c r="L129" i="3"/>
  <c r="U129" i="3" l="1"/>
  <c r="E130" i="3" s="1"/>
  <c r="H130" i="3" s="1"/>
  <c r="AH130" i="3"/>
  <c r="AG130" i="3"/>
  <c r="Y128" i="3"/>
  <c r="D130" i="3" l="1"/>
  <c r="G130" i="3" s="1"/>
  <c r="K130" i="3"/>
  <c r="F130" i="3" l="1"/>
  <c r="V130" i="3"/>
  <c r="AE130" i="3"/>
  <c r="I130" i="3"/>
  <c r="J130" i="3"/>
  <c r="M130" i="3"/>
  <c r="N130" i="3" s="1"/>
  <c r="L130" i="3" l="1"/>
  <c r="W130" i="3"/>
  <c r="U130" i="3" l="1"/>
  <c r="E131" i="3" s="1"/>
  <c r="H131" i="3" s="1"/>
  <c r="AH131" i="3"/>
  <c r="AG131" i="3"/>
  <c r="Y129" i="3"/>
  <c r="D131" i="3" l="1"/>
  <c r="F131" i="3" s="1"/>
  <c r="K131" i="3"/>
  <c r="G131" i="3" l="1"/>
  <c r="M131" i="3" s="1"/>
  <c r="N131" i="3" s="1"/>
  <c r="V131" i="3"/>
  <c r="AE131" i="3"/>
  <c r="J131" i="3" l="1"/>
  <c r="L131" i="3" s="1"/>
  <c r="I131" i="3"/>
  <c r="W131" i="3" s="1"/>
  <c r="U131" i="3" l="1"/>
  <c r="E132" i="3" s="1"/>
  <c r="H132" i="3" s="1"/>
  <c r="AH132" i="3"/>
  <c r="AG132" i="3"/>
  <c r="Y130" i="3"/>
  <c r="K132" i="3" l="1"/>
  <c r="D132" i="3"/>
  <c r="V132" i="3" l="1"/>
  <c r="AE132" i="3"/>
  <c r="F132" i="3"/>
  <c r="G132" i="3"/>
  <c r="I132" i="3" l="1"/>
  <c r="W132" i="3" s="1"/>
  <c r="J132" i="3"/>
  <c r="M132" i="3"/>
  <c r="N132" i="3" s="1"/>
  <c r="L132" i="3" l="1"/>
  <c r="U132" i="3" l="1"/>
  <c r="D133" i="3" s="1"/>
  <c r="AH133" i="3"/>
  <c r="AG133" i="3"/>
  <c r="Y131" i="3"/>
  <c r="E133" i="3" l="1"/>
  <c r="H133" i="3" s="1"/>
  <c r="K133" i="3" s="1"/>
  <c r="G133" i="3"/>
  <c r="F133" i="3" l="1"/>
  <c r="V133" i="3"/>
  <c r="AE133" i="3"/>
  <c r="I133" i="3"/>
  <c r="J133" i="3"/>
  <c r="M133" i="3"/>
  <c r="N133" i="3" s="1"/>
  <c r="W133" i="3" l="1"/>
  <c r="L133" i="3"/>
  <c r="AG134" i="3" l="1"/>
  <c r="U133" i="3"/>
  <c r="D134" i="3" s="1"/>
  <c r="AH134" i="3"/>
  <c r="Y132" i="3"/>
  <c r="E134" i="3" l="1"/>
  <c r="H134" i="3" s="1"/>
  <c r="K134" i="3" s="1"/>
  <c r="G134" i="3"/>
  <c r="F134" i="3" l="1"/>
  <c r="I134" i="3"/>
  <c r="J134" i="3"/>
  <c r="M134" i="3"/>
  <c r="N134" i="3" s="1"/>
  <c r="V134" i="3"/>
  <c r="AE134" i="3"/>
  <c r="W134" i="3" l="1"/>
  <c r="L134" i="3"/>
  <c r="U134" i="3" l="1"/>
  <c r="E135" i="3" s="1"/>
  <c r="H135" i="3" s="1"/>
  <c r="AH135" i="3"/>
  <c r="AG135" i="3"/>
  <c r="Y133" i="3"/>
  <c r="K135" i="3" l="1"/>
  <c r="D135" i="3"/>
  <c r="V135" i="3" l="1"/>
  <c r="AE135" i="3"/>
  <c r="F135" i="3"/>
  <c r="G135" i="3"/>
  <c r="I135" i="3" l="1"/>
  <c r="W135" i="3" s="1"/>
  <c r="J135" i="3"/>
  <c r="M135" i="3"/>
  <c r="N135" i="3" s="1"/>
  <c r="L135" i="3" l="1"/>
  <c r="AH136" i="3" l="1"/>
  <c r="U135" i="3"/>
  <c r="D136" i="3" s="1"/>
  <c r="AG136" i="3"/>
  <c r="Y134" i="3"/>
  <c r="E136" i="3" l="1"/>
  <c r="H136" i="3" s="1"/>
  <c r="K136" i="3" s="1"/>
  <c r="G136" i="3"/>
  <c r="F136" i="3" l="1"/>
  <c r="I136" i="3"/>
  <c r="J136" i="3"/>
  <c r="M136" i="3"/>
  <c r="N136" i="3" s="1"/>
  <c r="V136" i="3"/>
  <c r="AE136" i="3"/>
  <c r="W136" i="3" l="1"/>
  <c r="L136" i="3"/>
  <c r="U136" i="3" l="1"/>
  <c r="D137" i="3" s="1"/>
  <c r="AH137" i="3"/>
  <c r="AG137" i="3"/>
  <c r="Y135" i="3"/>
  <c r="E137" i="3" l="1"/>
  <c r="H137" i="3" s="1"/>
  <c r="K137" i="3" s="1"/>
  <c r="G137" i="3"/>
  <c r="F137" i="3" l="1"/>
  <c r="I137" i="3"/>
  <c r="J137" i="3"/>
  <c r="M137" i="3"/>
  <c r="N137" i="3" s="1"/>
  <c r="V137" i="3"/>
  <c r="AE137" i="3"/>
  <c r="W137" i="3" l="1"/>
  <c r="L137" i="3"/>
  <c r="AH138" i="3" l="1"/>
  <c r="U137" i="3"/>
  <c r="E138" i="3" s="1"/>
  <c r="H138" i="3" s="1"/>
  <c r="AG138" i="3"/>
  <c r="Y136" i="3"/>
  <c r="D138" i="3" l="1"/>
  <c r="F138" i="3" s="1"/>
  <c r="K138" i="3"/>
  <c r="G138" i="3" l="1"/>
  <c r="M138" i="3" s="1"/>
  <c r="N138" i="3" s="1"/>
  <c r="V138" i="3"/>
  <c r="AE138" i="3"/>
  <c r="I138" i="3" l="1"/>
  <c r="W138" i="3" s="1"/>
  <c r="J138" i="3"/>
  <c r="L138" i="3" s="1"/>
  <c r="U138" i="3" l="1"/>
  <c r="E139" i="3" s="1"/>
  <c r="H139" i="3" s="1"/>
  <c r="AG139" i="3"/>
  <c r="AH139" i="3"/>
  <c r="Y137" i="3"/>
  <c r="D139" i="3" l="1"/>
  <c r="G139" i="3" s="1"/>
  <c r="K139" i="3"/>
  <c r="F139" i="3" l="1"/>
  <c r="V139" i="3"/>
  <c r="AE139" i="3"/>
  <c r="I139" i="3"/>
  <c r="J139" i="3"/>
  <c r="M139" i="3"/>
  <c r="N139" i="3" s="1"/>
  <c r="W139" i="3" l="1"/>
  <c r="L139" i="3"/>
  <c r="AG140" i="3" l="1"/>
  <c r="U139" i="3"/>
  <c r="E140" i="3" s="1"/>
  <c r="H140" i="3" s="1"/>
  <c r="AH140" i="3"/>
  <c r="Y138" i="3"/>
  <c r="D140" i="3" l="1"/>
  <c r="G140" i="3" s="1"/>
  <c r="K140" i="3"/>
  <c r="F140" i="3" l="1"/>
  <c r="V140" i="3"/>
  <c r="AE140" i="3"/>
  <c r="I140" i="3"/>
  <c r="J140" i="3"/>
  <c r="M140" i="3"/>
  <c r="N140" i="3" s="1"/>
  <c r="W140" i="3" l="1"/>
  <c r="L140" i="3"/>
  <c r="AG141" i="3" l="1"/>
  <c r="U140" i="3"/>
  <c r="D141" i="3" s="1"/>
  <c r="AH141" i="3"/>
  <c r="Y139" i="3"/>
  <c r="E141" i="3" l="1"/>
  <c r="H141" i="3" s="1"/>
  <c r="K141" i="3" s="1"/>
  <c r="G141" i="3"/>
  <c r="F141" i="3" l="1"/>
  <c r="I141" i="3"/>
  <c r="J141" i="3"/>
  <c r="M141" i="3"/>
  <c r="N141" i="3" s="1"/>
  <c r="V141" i="3"/>
  <c r="AE141" i="3"/>
  <c r="W141" i="3" l="1"/>
  <c r="L141" i="3"/>
  <c r="U141" i="3" l="1"/>
  <c r="D142" i="3" s="1"/>
  <c r="AH142" i="3"/>
  <c r="AG142" i="3"/>
  <c r="Y140" i="3"/>
  <c r="E142" i="3" l="1"/>
  <c r="H142" i="3" s="1"/>
  <c r="K142" i="3" s="1"/>
  <c r="G142" i="3"/>
  <c r="F142" i="3" l="1"/>
  <c r="V142" i="3"/>
  <c r="AE142" i="3"/>
  <c r="I142" i="3"/>
  <c r="J142" i="3"/>
  <c r="M142" i="3"/>
  <c r="N142" i="3" s="1"/>
  <c r="W142" i="3" l="1"/>
  <c r="L142" i="3"/>
  <c r="U142" i="3" l="1"/>
  <c r="E143" i="3" s="1"/>
  <c r="H143" i="3" s="1"/>
  <c r="AG143" i="3"/>
  <c r="AH143" i="3"/>
  <c r="Y141" i="3"/>
  <c r="D143" i="3" l="1"/>
  <c r="F143" i="3" s="1"/>
  <c r="K143" i="3"/>
  <c r="G143" i="3" l="1"/>
  <c r="M143" i="3" s="1"/>
  <c r="N143" i="3" s="1"/>
  <c r="V143" i="3"/>
  <c r="AE143" i="3"/>
  <c r="J143" i="3" l="1"/>
  <c r="L143" i="3" s="1"/>
  <c r="I143" i="3"/>
  <c r="W143" i="3" s="1"/>
  <c r="U143" i="3" l="1"/>
  <c r="D144" i="3" s="1"/>
  <c r="AG144" i="3"/>
  <c r="AH144" i="3"/>
  <c r="Y142" i="3"/>
  <c r="E144" i="3" l="1"/>
  <c r="H144" i="3" s="1"/>
  <c r="K144" i="3" s="1"/>
  <c r="G144" i="3"/>
  <c r="F144" i="3" l="1"/>
  <c r="V144" i="3"/>
  <c r="AE144" i="3"/>
  <c r="I144" i="3"/>
  <c r="J144" i="3"/>
  <c r="M144" i="3"/>
  <c r="N144" i="3" s="1"/>
  <c r="W144" i="3" l="1"/>
  <c r="L144" i="3"/>
  <c r="AH145" i="3" l="1"/>
  <c r="AG145" i="3"/>
  <c r="U144" i="3"/>
  <c r="D145" i="3" s="1"/>
  <c r="Y143" i="3"/>
  <c r="E145" i="3" l="1"/>
  <c r="H145" i="3" s="1"/>
  <c r="K145" i="3" s="1"/>
  <c r="G145" i="3"/>
  <c r="F145" i="3" l="1"/>
  <c r="I145" i="3"/>
  <c r="J145" i="3"/>
  <c r="M145" i="3"/>
  <c r="N145" i="3" s="1"/>
  <c r="V145" i="3"/>
  <c r="AE145" i="3"/>
  <c r="W145" i="3" l="1"/>
  <c r="L145" i="3"/>
  <c r="U145" i="3" l="1"/>
  <c r="D146" i="3" s="1"/>
  <c r="AH146" i="3"/>
  <c r="AG146" i="3"/>
  <c r="Y144" i="3"/>
  <c r="E146" i="3" l="1"/>
  <c r="H146" i="3" s="1"/>
  <c r="K146" i="3" s="1"/>
  <c r="G146" i="3"/>
  <c r="F146" i="3" l="1"/>
  <c r="I146" i="3"/>
  <c r="J146" i="3"/>
  <c r="M146" i="3"/>
  <c r="N146" i="3" s="1"/>
  <c r="V146" i="3"/>
  <c r="AE146" i="3"/>
  <c r="W146" i="3" l="1"/>
  <c r="L146" i="3"/>
  <c r="U146" i="3" l="1"/>
  <c r="D147" i="3" s="1"/>
  <c r="AG147" i="3"/>
  <c r="AH147" i="3"/>
  <c r="Y145" i="3"/>
  <c r="E147" i="3" l="1"/>
  <c r="H147" i="3" s="1"/>
  <c r="K147" i="3" s="1"/>
  <c r="G147" i="3"/>
  <c r="F147" i="3" l="1"/>
  <c r="V147" i="3"/>
  <c r="AE147" i="3"/>
  <c r="I147" i="3"/>
  <c r="J147" i="3"/>
  <c r="M147" i="3"/>
  <c r="N147" i="3" s="1"/>
  <c r="W147" i="3" l="1"/>
  <c r="L147" i="3"/>
  <c r="AG148" i="3" l="1"/>
  <c r="U147" i="3"/>
  <c r="E148" i="3" s="1"/>
  <c r="H148" i="3" s="1"/>
  <c r="AH148" i="3"/>
  <c r="Y146" i="3"/>
  <c r="K148" i="3" l="1"/>
  <c r="D148" i="3"/>
  <c r="V148" i="3" l="1"/>
  <c r="AE148" i="3"/>
  <c r="F148" i="3"/>
  <c r="G148" i="3"/>
  <c r="I148" i="3" l="1"/>
  <c r="W148" i="3" s="1"/>
  <c r="J148" i="3"/>
  <c r="M148" i="3"/>
  <c r="N148" i="3" s="1"/>
  <c r="L148" i="3" l="1"/>
  <c r="AG149" i="3" l="1"/>
  <c r="U148" i="3"/>
  <c r="D149" i="3" s="1"/>
  <c r="AH149" i="3"/>
  <c r="Y147" i="3"/>
  <c r="E149" i="3" l="1"/>
  <c r="H149" i="3" s="1"/>
  <c r="K149" i="3" s="1"/>
  <c r="G149" i="3"/>
  <c r="F149" i="3" l="1"/>
  <c r="I149" i="3"/>
  <c r="J149" i="3"/>
  <c r="M149" i="3"/>
  <c r="N149" i="3" s="1"/>
  <c r="V149" i="3"/>
  <c r="AE149" i="3"/>
  <c r="W149" i="3" l="1"/>
  <c r="L149" i="3"/>
  <c r="AH150" i="3" l="1"/>
  <c r="U149" i="3"/>
  <c r="D150" i="3" s="1"/>
  <c r="AG150" i="3"/>
  <c r="Y148" i="3"/>
  <c r="E150" i="3" l="1"/>
  <c r="H150" i="3" s="1"/>
  <c r="K150" i="3" s="1"/>
  <c r="G150" i="3"/>
  <c r="F150" i="3" l="1"/>
  <c r="I150" i="3"/>
  <c r="J150" i="3"/>
  <c r="M150" i="3"/>
  <c r="N150" i="3" s="1"/>
  <c r="V150" i="3"/>
  <c r="AE150" i="3"/>
  <c r="W150" i="3" l="1"/>
  <c r="L150" i="3"/>
  <c r="AH151" i="3" l="1"/>
  <c r="U150" i="3"/>
  <c r="E151" i="3" s="1"/>
  <c r="H151" i="3" s="1"/>
  <c r="AG151" i="3"/>
  <c r="Y149" i="3"/>
  <c r="D151" i="3" l="1"/>
  <c r="G151" i="3" s="1"/>
  <c r="K151" i="3"/>
  <c r="F151" i="3" l="1"/>
  <c r="I151" i="3"/>
  <c r="J151" i="3"/>
  <c r="M151" i="3"/>
  <c r="N151" i="3" s="1"/>
  <c r="V151" i="3"/>
  <c r="AE151" i="3"/>
  <c r="W151" i="3" l="1"/>
  <c r="L151" i="3"/>
  <c r="AH152" i="3" l="1"/>
  <c r="AG152" i="3"/>
  <c r="U151" i="3"/>
  <c r="E152" i="3" s="1"/>
  <c r="H152" i="3" s="1"/>
  <c r="Y150" i="3"/>
  <c r="D152" i="3" l="1"/>
  <c r="G152" i="3" s="1"/>
  <c r="K152" i="3"/>
  <c r="F152" i="3" l="1"/>
  <c r="V152" i="3"/>
  <c r="AE152" i="3"/>
  <c r="I152" i="3"/>
  <c r="J152" i="3"/>
  <c r="M152" i="3"/>
  <c r="N152" i="3" s="1"/>
  <c r="W152" i="3" l="1"/>
  <c r="L152" i="3"/>
  <c r="AH153" i="3" l="1"/>
  <c r="U152" i="3"/>
  <c r="D153" i="3" s="1"/>
  <c r="AG153" i="3"/>
  <c r="Y151" i="3"/>
  <c r="G153" i="3" l="1"/>
  <c r="E153" i="3"/>
  <c r="H153" i="3" s="1"/>
  <c r="K153" i="3" l="1"/>
  <c r="I153" i="3"/>
  <c r="J153" i="3"/>
  <c r="M153" i="3"/>
  <c r="N153" i="3" s="1"/>
  <c r="F153" i="3"/>
  <c r="V153" i="3" l="1"/>
  <c r="W153" i="3" s="1"/>
  <c r="AE153" i="3"/>
  <c r="L153" i="3"/>
  <c r="U153" i="3" l="1"/>
  <c r="D154" i="3" s="1"/>
  <c r="AG154" i="3"/>
  <c r="AH154" i="3"/>
  <c r="Y152" i="3"/>
  <c r="E154" i="3" l="1"/>
  <c r="H154" i="3" s="1"/>
  <c r="K154" i="3" s="1"/>
  <c r="G154" i="3"/>
  <c r="F154" i="3" l="1"/>
  <c r="I154" i="3"/>
  <c r="J154" i="3"/>
  <c r="M154" i="3"/>
  <c r="N154" i="3" s="1"/>
  <c r="V154" i="3"/>
  <c r="AE154" i="3"/>
  <c r="L154" i="3" l="1"/>
  <c r="W154" i="3"/>
  <c r="U154" i="3" l="1"/>
  <c r="E155" i="3" s="1"/>
  <c r="H155" i="3" s="1"/>
  <c r="AH155" i="3"/>
  <c r="AG155" i="3"/>
  <c r="Y153" i="3"/>
  <c r="D155" i="3" l="1"/>
  <c r="G155" i="3" s="1"/>
  <c r="K155" i="3"/>
  <c r="F155" i="3" l="1"/>
  <c r="V155" i="3"/>
  <c r="AE155" i="3"/>
  <c r="I155" i="3"/>
  <c r="J155" i="3"/>
  <c r="M155" i="3"/>
  <c r="N155" i="3" s="1"/>
  <c r="W155" i="3" l="1"/>
  <c r="L155" i="3"/>
  <c r="AG156" i="3" l="1"/>
  <c r="U155" i="3"/>
  <c r="D156" i="3" s="1"/>
  <c r="AH156" i="3"/>
  <c r="Y154" i="3"/>
  <c r="E156" i="3" l="1"/>
  <c r="H156" i="3" s="1"/>
  <c r="K156" i="3" s="1"/>
  <c r="G156" i="3"/>
  <c r="F156" i="3" l="1"/>
  <c r="V156" i="3"/>
  <c r="AE156" i="3"/>
  <c r="I156" i="3"/>
  <c r="J156" i="3"/>
  <c r="M156" i="3"/>
  <c r="N156" i="3" s="1"/>
  <c r="W156" i="3" l="1"/>
  <c r="L156" i="3"/>
  <c r="U156" i="3" l="1"/>
  <c r="E157" i="3" s="1"/>
  <c r="H157" i="3" s="1"/>
  <c r="AH157" i="3"/>
  <c r="AG157" i="3"/>
  <c r="Y155" i="3"/>
  <c r="D157" i="3" l="1"/>
  <c r="G157" i="3" s="1"/>
  <c r="K157" i="3"/>
  <c r="F157" i="3" l="1"/>
  <c r="I157" i="3"/>
  <c r="J157" i="3"/>
  <c r="M157" i="3"/>
  <c r="N157" i="3" s="1"/>
  <c r="V157" i="3"/>
  <c r="AE157" i="3"/>
  <c r="W157" i="3" l="1"/>
  <c r="L157" i="3"/>
  <c r="U157" i="3" l="1"/>
  <c r="E158" i="3" s="1"/>
  <c r="H158" i="3" s="1"/>
  <c r="AH158" i="3"/>
  <c r="AG158" i="3"/>
  <c r="Y156" i="3"/>
  <c r="D158" i="3" l="1"/>
  <c r="F158" i="3" s="1"/>
  <c r="K158" i="3"/>
  <c r="G158" i="3" l="1"/>
  <c r="I158" i="3" s="1"/>
  <c r="V158" i="3"/>
  <c r="AE158" i="3"/>
  <c r="M158" i="3" l="1"/>
  <c r="N158" i="3" s="1"/>
  <c r="J158" i="3"/>
  <c r="L158" i="3" s="1"/>
  <c r="W158" i="3"/>
  <c r="U158" i="3" l="1"/>
  <c r="E159" i="3" s="1"/>
  <c r="H159" i="3" s="1"/>
  <c r="AG159" i="3"/>
  <c r="AH159" i="3"/>
  <c r="Y157" i="3"/>
  <c r="D159" i="3" l="1"/>
  <c r="F159" i="3" s="1"/>
  <c r="K159" i="3"/>
  <c r="G159" i="3" l="1"/>
  <c r="M159" i="3" s="1"/>
  <c r="N159" i="3" s="1"/>
  <c r="V159" i="3"/>
  <c r="AE159" i="3"/>
  <c r="I159" i="3" l="1"/>
  <c r="W159" i="3" s="1"/>
  <c r="J159" i="3"/>
  <c r="L159" i="3" s="1"/>
  <c r="AH160" i="3" l="1"/>
  <c r="U159" i="3"/>
  <c r="E160" i="3" s="1"/>
  <c r="H160" i="3" s="1"/>
  <c r="AG160" i="3"/>
  <c r="Y158" i="3"/>
  <c r="D160" i="3" l="1"/>
  <c r="G160" i="3" s="1"/>
  <c r="K160" i="3"/>
  <c r="F160" i="3" l="1"/>
  <c r="I160" i="3"/>
  <c r="J160" i="3"/>
  <c r="M160" i="3"/>
  <c r="N160" i="3" s="1"/>
  <c r="V160" i="3"/>
  <c r="AE160" i="3"/>
  <c r="W160" i="3" l="1"/>
  <c r="L160" i="3"/>
  <c r="AG161" i="3" l="1"/>
  <c r="AH161" i="3"/>
  <c r="U160" i="3"/>
  <c r="E161" i="3" s="1"/>
  <c r="H161" i="3" s="1"/>
  <c r="Y159" i="3"/>
  <c r="D161" i="3" l="1"/>
  <c r="G161" i="3" s="1"/>
  <c r="K161" i="3"/>
  <c r="F161" i="3" l="1"/>
  <c r="I161" i="3"/>
  <c r="J161" i="3"/>
  <c r="M161" i="3"/>
  <c r="N161" i="3" s="1"/>
  <c r="V161" i="3"/>
  <c r="AE161" i="3"/>
  <c r="W161" i="3" l="1"/>
  <c r="L161" i="3"/>
  <c r="U161" i="3" l="1"/>
  <c r="D162" i="3" s="1"/>
  <c r="AG162" i="3"/>
  <c r="AH162" i="3"/>
  <c r="Y160" i="3"/>
  <c r="G162" i="3" l="1"/>
  <c r="E162" i="3"/>
  <c r="H162" i="3" s="1"/>
  <c r="F162" i="3" l="1"/>
  <c r="I162" i="3"/>
  <c r="J162" i="3"/>
  <c r="M162" i="3"/>
  <c r="N162" i="3" s="1"/>
  <c r="K162" i="3"/>
  <c r="V162" i="3" l="1"/>
  <c r="W162" i="3" s="1"/>
  <c r="AE162" i="3"/>
  <c r="L162" i="3"/>
  <c r="U162" i="3" l="1"/>
  <c r="D163" i="3" s="1"/>
  <c r="AH163" i="3"/>
  <c r="AG163" i="3"/>
  <c r="Y161" i="3"/>
  <c r="E163" i="3" l="1"/>
  <c r="H163" i="3" s="1"/>
  <c r="K163" i="3" s="1"/>
  <c r="G163" i="3"/>
  <c r="F163" i="3" l="1"/>
  <c r="V163" i="3"/>
  <c r="AE163" i="3"/>
  <c r="I163" i="3"/>
  <c r="J163" i="3"/>
  <c r="M163" i="3"/>
  <c r="N163" i="3" s="1"/>
  <c r="W163" i="3" l="1"/>
  <c r="L163" i="3"/>
  <c r="AH164" i="3" l="1"/>
  <c r="U163" i="3"/>
  <c r="D164" i="3" s="1"/>
  <c r="AG164" i="3"/>
  <c r="Y162" i="3"/>
  <c r="E164" i="3" l="1"/>
  <c r="H164" i="3" s="1"/>
  <c r="K164" i="3" s="1"/>
  <c r="G164" i="3"/>
  <c r="F164" i="3" l="1"/>
  <c r="I164" i="3"/>
  <c r="J164" i="3"/>
  <c r="M164" i="3"/>
  <c r="N164" i="3" s="1"/>
  <c r="V164" i="3"/>
  <c r="AE164" i="3"/>
  <c r="W164" i="3" l="1"/>
  <c r="L164" i="3"/>
  <c r="U164" i="3" l="1"/>
  <c r="D165" i="3" s="1"/>
  <c r="AG165" i="3"/>
  <c r="AH165" i="3"/>
  <c r="Y163" i="3"/>
  <c r="E165" i="3" l="1"/>
  <c r="H165" i="3" s="1"/>
  <c r="K165" i="3" s="1"/>
  <c r="G165" i="3"/>
  <c r="F165" i="3" l="1"/>
  <c r="V165" i="3"/>
  <c r="AE165" i="3"/>
  <c r="I165" i="3"/>
  <c r="J165" i="3"/>
  <c r="M165" i="3"/>
  <c r="N165" i="3" s="1"/>
  <c r="L165" i="3" l="1"/>
  <c r="W165" i="3"/>
  <c r="AH166" i="3" l="1"/>
  <c r="U165" i="3"/>
  <c r="E166" i="3" s="1"/>
  <c r="H166" i="3" s="1"/>
  <c r="AG166" i="3"/>
  <c r="Y164" i="3"/>
  <c r="D166" i="3" l="1"/>
  <c r="G166" i="3" s="1"/>
  <c r="K166" i="3"/>
  <c r="F166" i="3" l="1"/>
  <c r="I166" i="3"/>
  <c r="J166" i="3"/>
  <c r="M166" i="3"/>
  <c r="N166" i="3" s="1"/>
  <c r="V166" i="3"/>
  <c r="AE166" i="3"/>
  <c r="W166" i="3" l="1"/>
  <c r="L166" i="3"/>
  <c r="AH167" i="3" l="1"/>
  <c r="AG167" i="3"/>
  <c r="U166" i="3"/>
  <c r="E167" i="3" s="1"/>
  <c r="H167" i="3" s="1"/>
  <c r="Y165" i="3"/>
  <c r="K167" i="3" l="1"/>
  <c r="D167" i="3"/>
  <c r="V167" i="3" l="1"/>
  <c r="AE167" i="3"/>
  <c r="F167" i="3"/>
  <c r="G167" i="3"/>
  <c r="I167" i="3" l="1"/>
  <c r="W167" i="3" s="1"/>
  <c r="J167" i="3"/>
  <c r="M167" i="3"/>
  <c r="N167" i="3" s="1"/>
  <c r="L167" i="3" l="1"/>
  <c r="AH168" i="3" l="1"/>
  <c r="U167" i="3"/>
  <c r="E168" i="3" s="1"/>
  <c r="H168" i="3" s="1"/>
  <c r="AG168" i="3"/>
  <c r="Y166" i="3"/>
  <c r="D168" i="3" l="1"/>
  <c r="F168" i="3" s="1"/>
  <c r="K168" i="3"/>
  <c r="G168" i="3" l="1"/>
  <c r="I168" i="3" s="1"/>
  <c r="V168" i="3"/>
  <c r="AE168" i="3"/>
  <c r="M168" i="3" l="1"/>
  <c r="N168" i="3" s="1"/>
  <c r="J168" i="3"/>
  <c r="L168" i="3" s="1"/>
  <c r="W168" i="3"/>
  <c r="U168" i="3" l="1"/>
  <c r="E169" i="3" s="1"/>
  <c r="H169" i="3" s="1"/>
  <c r="AH169" i="3"/>
  <c r="AG169" i="3"/>
  <c r="Y167" i="3"/>
  <c r="D169" i="3" l="1"/>
  <c r="F169" i="3" s="1"/>
  <c r="K169" i="3"/>
  <c r="G169" i="3" l="1"/>
  <c r="I169" i="3" s="1"/>
  <c r="V169" i="3"/>
  <c r="AE169" i="3"/>
  <c r="M169" i="3" l="1"/>
  <c r="N169" i="3" s="1"/>
  <c r="J169" i="3"/>
  <c r="L169" i="3" s="1"/>
  <c r="W169" i="3"/>
  <c r="AH170" i="3" l="1"/>
  <c r="U169" i="3"/>
  <c r="E170" i="3" s="1"/>
  <c r="H170" i="3" s="1"/>
  <c r="AG170" i="3"/>
  <c r="Y168" i="3"/>
  <c r="D170" i="3" l="1"/>
  <c r="G170" i="3" s="1"/>
  <c r="K170" i="3"/>
  <c r="F170" i="3" l="1"/>
  <c r="I170" i="3"/>
  <c r="J170" i="3"/>
  <c r="M170" i="3"/>
  <c r="N170" i="3" s="1"/>
  <c r="V170" i="3"/>
  <c r="AE170" i="3"/>
  <c r="W170" i="3" l="1"/>
  <c r="L170" i="3"/>
  <c r="AG171" i="3" l="1"/>
  <c r="U170" i="3"/>
  <c r="E171" i="3" s="1"/>
  <c r="H171" i="3" s="1"/>
  <c r="AH171" i="3"/>
  <c r="Y169" i="3"/>
  <c r="K171" i="3" l="1"/>
  <c r="D171" i="3"/>
  <c r="F171" i="3" l="1"/>
  <c r="G171" i="3"/>
  <c r="V171" i="3"/>
  <c r="AE171" i="3"/>
  <c r="I171" i="3" l="1"/>
  <c r="W171" i="3" s="1"/>
  <c r="J171" i="3"/>
  <c r="M171" i="3"/>
  <c r="N171" i="3" s="1"/>
  <c r="L171" i="3" l="1"/>
  <c r="U171" i="3" l="1"/>
  <c r="E172" i="3" s="1"/>
  <c r="H172" i="3" s="1"/>
  <c r="AH172" i="3"/>
  <c r="AG172" i="3"/>
  <c r="Y170" i="3"/>
  <c r="K172" i="3" l="1"/>
  <c r="D172" i="3"/>
  <c r="V172" i="3" l="1"/>
  <c r="AE172" i="3"/>
  <c r="F172" i="3"/>
  <c r="G172" i="3"/>
  <c r="I172" i="3" l="1"/>
  <c r="W172" i="3" s="1"/>
  <c r="J172" i="3"/>
  <c r="M172" i="3"/>
  <c r="N172" i="3" s="1"/>
  <c r="L172" i="3" l="1"/>
  <c r="U172" i="3" l="1"/>
  <c r="E173" i="3" s="1"/>
  <c r="H173" i="3" s="1"/>
  <c r="AH173" i="3"/>
  <c r="AG173" i="3"/>
  <c r="Y171" i="3"/>
  <c r="D173" i="3" l="1"/>
  <c r="G173" i="3" s="1"/>
  <c r="K173" i="3"/>
  <c r="F173" i="3" l="1"/>
  <c r="I173" i="3"/>
  <c r="J173" i="3"/>
  <c r="M173" i="3"/>
  <c r="N173" i="3" s="1"/>
  <c r="V173" i="3"/>
  <c r="AE173" i="3"/>
  <c r="L173" i="3" l="1"/>
  <c r="W173" i="3"/>
  <c r="U173" i="3" l="1"/>
  <c r="E174" i="3" s="1"/>
  <c r="H174" i="3" s="1"/>
  <c r="AG174" i="3"/>
  <c r="AH174" i="3"/>
  <c r="Y172" i="3"/>
  <c r="D174" i="3" l="1"/>
  <c r="G174" i="3" s="1"/>
  <c r="K174" i="3"/>
  <c r="F174" i="3" l="1"/>
  <c r="V174" i="3"/>
  <c r="AE174" i="3"/>
  <c r="I174" i="3"/>
  <c r="J174" i="3"/>
  <c r="M174" i="3"/>
  <c r="N174" i="3" s="1"/>
  <c r="W174" i="3" l="1"/>
  <c r="L174" i="3"/>
  <c r="U174" i="3" l="1"/>
  <c r="D175" i="3" s="1"/>
  <c r="AG175" i="3"/>
  <c r="AH175" i="3"/>
  <c r="Y173" i="3"/>
  <c r="E175" i="3" l="1"/>
  <c r="H175" i="3" s="1"/>
  <c r="K175" i="3" s="1"/>
  <c r="G175" i="3"/>
  <c r="F175" i="3" l="1"/>
  <c r="I175" i="3"/>
  <c r="J175" i="3"/>
  <c r="M175" i="3"/>
  <c r="N175" i="3" s="1"/>
  <c r="V175" i="3"/>
  <c r="AE175" i="3"/>
  <c r="W175" i="3" l="1"/>
  <c r="L175" i="3"/>
  <c r="U175" i="3" l="1"/>
  <c r="E176" i="3" s="1"/>
  <c r="H176" i="3" s="1"/>
  <c r="AG176" i="3"/>
  <c r="AH176" i="3"/>
  <c r="Y174" i="3"/>
  <c r="D176" i="3" l="1"/>
  <c r="G176" i="3" s="1"/>
  <c r="K176" i="3"/>
  <c r="F176" i="3" l="1"/>
  <c r="I176" i="3"/>
  <c r="J176" i="3"/>
  <c r="M176" i="3"/>
  <c r="N176" i="3" s="1"/>
  <c r="V176" i="3"/>
  <c r="AE176" i="3"/>
  <c r="W176" i="3" l="1"/>
  <c r="L176" i="3"/>
  <c r="AH177" i="3" l="1"/>
  <c r="U176" i="3"/>
  <c r="D177" i="3" s="1"/>
  <c r="AG177" i="3"/>
  <c r="Y175" i="3"/>
  <c r="G177" i="3" l="1"/>
  <c r="E177" i="3"/>
  <c r="H177" i="3" s="1"/>
  <c r="F177" i="3" l="1"/>
  <c r="I177" i="3"/>
  <c r="J177" i="3"/>
  <c r="M177" i="3"/>
  <c r="N177" i="3" s="1"/>
  <c r="K177" i="3"/>
  <c r="V177" i="3" l="1"/>
  <c r="W177" i="3" s="1"/>
  <c r="AE177" i="3"/>
  <c r="L177" i="3"/>
  <c r="AH178" i="3" l="1"/>
  <c r="U177" i="3"/>
  <c r="E178" i="3" s="1"/>
  <c r="H178" i="3" s="1"/>
  <c r="AG178" i="3"/>
  <c r="Y176" i="3"/>
  <c r="D178" i="3" l="1"/>
  <c r="G178" i="3" s="1"/>
  <c r="K178" i="3"/>
  <c r="F178" i="3" l="1"/>
  <c r="I178" i="3"/>
  <c r="J178" i="3"/>
  <c r="M178" i="3"/>
  <c r="N178" i="3" s="1"/>
  <c r="V178" i="3"/>
  <c r="AE178" i="3"/>
  <c r="W178" i="3" l="1"/>
  <c r="L178" i="3"/>
  <c r="U178" i="3" l="1"/>
  <c r="E179" i="3" s="1"/>
  <c r="H179" i="3" s="1"/>
  <c r="AG179" i="3"/>
  <c r="AH179" i="3"/>
  <c r="Y177" i="3"/>
  <c r="D179" i="3" l="1"/>
  <c r="G179" i="3" s="1"/>
  <c r="K179" i="3"/>
  <c r="F179" i="3" l="1"/>
  <c r="V179" i="3"/>
  <c r="AE179" i="3"/>
  <c r="I179" i="3"/>
  <c r="J179" i="3"/>
  <c r="M179" i="3"/>
  <c r="N179" i="3" s="1"/>
  <c r="W179" i="3" l="1"/>
  <c r="L179" i="3"/>
  <c r="AG180" i="3" l="1"/>
  <c r="U179" i="3"/>
  <c r="D180" i="3" s="1"/>
  <c r="AH180" i="3"/>
  <c r="Y178" i="3"/>
  <c r="E180" i="3" l="1"/>
  <c r="H180" i="3" s="1"/>
  <c r="K180" i="3" s="1"/>
  <c r="G180" i="3"/>
  <c r="F180" i="3" l="1"/>
  <c r="I180" i="3"/>
  <c r="J180" i="3"/>
  <c r="M180" i="3"/>
  <c r="N180" i="3" s="1"/>
  <c r="V180" i="3"/>
  <c r="AE180" i="3"/>
  <c r="L180" i="3" l="1"/>
  <c r="W180" i="3"/>
  <c r="U180" i="3" l="1"/>
  <c r="E181" i="3" s="1"/>
  <c r="H181" i="3" s="1"/>
  <c r="AH181" i="3"/>
  <c r="AG181" i="3"/>
  <c r="Y179" i="3"/>
  <c r="D181" i="3" l="1"/>
  <c r="G181" i="3" s="1"/>
  <c r="K181" i="3"/>
  <c r="F181" i="3" l="1"/>
  <c r="I181" i="3"/>
  <c r="J181" i="3"/>
  <c r="M181" i="3"/>
  <c r="N181" i="3" s="1"/>
  <c r="V181" i="3"/>
  <c r="AE181" i="3"/>
  <c r="W181" i="3" l="1"/>
  <c r="L181" i="3"/>
  <c r="AH182" i="3" l="1"/>
  <c r="U181" i="3"/>
  <c r="E182" i="3" s="1"/>
  <c r="H182" i="3" s="1"/>
  <c r="AG182" i="3"/>
  <c r="Y180" i="3"/>
  <c r="K182" i="3" l="1"/>
  <c r="D182" i="3"/>
  <c r="V182" i="3" l="1"/>
  <c r="AE182" i="3"/>
  <c r="F182" i="3"/>
  <c r="G182" i="3"/>
  <c r="I182" i="3" l="1"/>
  <c r="W182" i="3" s="1"/>
  <c r="J182" i="3"/>
  <c r="M182" i="3"/>
  <c r="N182" i="3" s="1"/>
  <c r="L182" i="3" l="1"/>
  <c r="U182" i="3" l="1"/>
  <c r="E183" i="3" s="1"/>
  <c r="H183" i="3" s="1"/>
  <c r="AH183" i="3"/>
  <c r="AG183" i="3"/>
  <c r="Y181" i="3"/>
  <c r="D183" i="3" l="1"/>
  <c r="G183" i="3" s="1"/>
  <c r="K183" i="3"/>
  <c r="F183" i="3" l="1"/>
  <c r="I183" i="3"/>
  <c r="J183" i="3"/>
  <c r="M183" i="3"/>
  <c r="N183" i="3" s="1"/>
  <c r="V183" i="3"/>
  <c r="AE183" i="3"/>
  <c r="W183" i="3" l="1"/>
  <c r="L183" i="3"/>
  <c r="U183" i="3" l="1"/>
  <c r="D184" i="3" s="1"/>
  <c r="AG184" i="3"/>
  <c r="AH184" i="3"/>
  <c r="Y182" i="3"/>
  <c r="G184" i="3" l="1"/>
  <c r="E184" i="3"/>
  <c r="H184" i="3" s="1"/>
  <c r="K184" i="3" l="1"/>
  <c r="I184" i="3"/>
  <c r="J184" i="3"/>
  <c r="M184" i="3"/>
  <c r="N184" i="3" s="1"/>
  <c r="F184" i="3"/>
  <c r="V184" i="3" l="1"/>
  <c r="W184" i="3" s="1"/>
  <c r="AE184" i="3"/>
  <c r="L184" i="3"/>
  <c r="AH185" i="3" l="1"/>
  <c r="AG185" i="3"/>
  <c r="U184" i="3"/>
  <c r="D185" i="3" s="1"/>
  <c r="Y183" i="3"/>
  <c r="E185" i="3" l="1"/>
  <c r="H185" i="3" s="1"/>
  <c r="K185" i="3" s="1"/>
  <c r="G185" i="3"/>
  <c r="F185" i="3" l="1"/>
  <c r="I185" i="3"/>
  <c r="J185" i="3"/>
  <c r="M185" i="3"/>
  <c r="N185" i="3" s="1"/>
  <c r="V185" i="3"/>
  <c r="AE185" i="3"/>
  <c r="W185" i="3" l="1"/>
  <c r="L185" i="3"/>
  <c r="U185" i="3" l="1"/>
  <c r="E186" i="3" s="1"/>
  <c r="H186" i="3" s="1"/>
  <c r="AH186" i="3"/>
  <c r="AG186" i="3"/>
  <c r="Y184" i="3"/>
  <c r="D186" i="3" l="1"/>
  <c r="G186" i="3" s="1"/>
  <c r="K186" i="3"/>
  <c r="F186" i="3" l="1"/>
  <c r="V186" i="3"/>
  <c r="AE186" i="3"/>
  <c r="I186" i="3"/>
  <c r="J186" i="3"/>
  <c r="M186" i="3"/>
  <c r="N186" i="3" s="1"/>
  <c r="L186" i="3" l="1"/>
  <c r="W186" i="3"/>
  <c r="AG187" i="3" l="1"/>
  <c r="AH187" i="3"/>
  <c r="U186" i="3"/>
  <c r="D187" i="3" s="1"/>
  <c r="Y185" i="3"/>
  <c r="G187" i="3" l="1"/>
  <c r="E187" i="3"/>
  <c r="H187" i="3" s="1"/>
  <c r="I187" i="3" l="1"/>
  <c r="J187" i="3"/>
  <c r="M187" i="3"/>
  <c r="N187" i="3" s="1"/>
  <c r="F187" i="3"/>
  <c r="K187" i="3"/>
  <c r="L187" i="3" l="1"/>
  <c r="V187" i="3"/>
  <c r="W187" i="3" s="1"/>
  <c r="AE187" i="3"/>
  <c r="AG188" i="3" l="1"/>
  <c r="U187" i="3"/>
  <c r="E188" i="3" s="1"/>
  <c r="H188" i="3" s="1"/>
  <c r="AH188" i="3"/>
  <c r="Y186" i="3"/>
  <c r="D188" i="3" l="1"/>
  <c r="G188" i="3" s="1"/>
  <c r="K188" i="3"/>
  <c r="F188" i="3" l="1"/>
  <c r="I188" i="3"/>
  <c r="J188" i="3"/>
  <c r="M188" i="3"/>
  <c r="N188" i="3" s="1"/>
  <c r="V188" i="3"/>
  <c r="AE188" i="3"/>
  <c r="W188" i="3" l="1"/>
  <c r="L188" i="3"/>
  <c r="U188" i="3" l="1"/>
  <c r="E189" i="3" s="1"/>
  <c r="H189" i="3" s="1"/>
  <c r="AH189" i="3"/>
  <c r="AG189" i="3"/>
  <c r="Y187" i="3"/>
  <c r="D189" i="3" l="1"/>
  <c r="G189" i="3" s="1"/>
  <c r="K189" i="3"/>
  <c r="F189" i="3" l="1"/>
  <c r="I189" i="3"/>
  <c r="J189" i="3"/>
  <c r="M189" i="3"/>
  <c r="N189" i="3" s="1"/>
  <c r="V189" i="3"/>
  <c r="AE189" i="3"/>
  <c r="W189" i="3" l="1"/>
  <c r="L189" i="3"/>
  <c r="AH190" i="3" l="1"/>
  <c r="U189" i="3"/>
  <c r="D190" i="3" s="1"/>
  <c r="AG190" i="3"/>
  <c r="Y188" i="3"/>
  <c r="G190" i="3" l="1"/>
  <c r="E190" i="3"/>
  <c r="H190" i="3" s="1"/>
  <c r="K190" i="3" l="1"/>
  <c r="I190" i="3"/>
  <c r="J190" i="3"/>
  <c r="M190" i="3"/>
  <c r="N190" i="3" s="1"/>
  <c r="F190" i="3"/>
  <c r="L190" i="3" l="1"/>
  <c r="V190" i="3"/>
  <c r="W190" i="3" s="1"/>
  <c r="AE190" i="3"/>
  <c r="AG191" i="3" l="1"/>
  <c r="U190" i="3"/>
  <c r="E191" i="3" s="1"/>
  <c r="H191" i="3" s="1"/>
  <c r="AH191" i="3"/>
  <c r="Y189" i="3"/>
  <c r="K191" i="3" l="1"/>
  <c r="D191" i="3"/>
  <c r="V191" i="3" l="1"/>
  <c r="AE191" i="3"/>
  <c r="F191" i="3"/>
  <c r="G191" i="3"/>
  <c r="I191" i="3" l="1"/>
  <c r="W191" i="3" s="1"/>
  <c r="J191" i="3"/>
  <c r="M191" i="3"/>
  <c r="N191" i="3" s="1"/>
  <c r="L191" i="3" l="1"/>
  <c r="AG192" i="3" l="1"/>
  <c r="U191" i="3"/>
  <c r="E192" i="3" s="1"/>
  <c r="H192" i="3" s="1"/>
  <c r="AH192" i="3"/>
  <c r="Y190" i="3"/>
  <c r="D192" i="3" l="1"/>
  <c r="G192" i="3" s="1"/>
  <c r="K192" i="3"/>
  <c r="F192" i="3" l="1"/>
  <c r="I192" i="3"/>
  <c r="J192" i="3"/>
  <c r="M192" i="3"/>
  <c r="N192" i="3" s="1"/>
  <c r="V192" i="3"/>
  <c r="AE192" i="3"/>
  <c r="W192" i="3" l="1"/>
  <c r="L192" i="3"/>
  <c r="U192" i="3" l="1"/>
  <c r="D193" i="3" s="1"/>
  <c r="AG193" i="3"/>
  <c r="AH193" i="3"/>
  <c r="Y191" i="3"/>
  <c r="G193" i="3" l="1"/>
  <c r="E193" i="3"/>
  <c r="H193" i="3" s="1"/>
  <c r="K193" i="3" l="1"/>
  <c r="I193" i="3"/>
  <c r="J193" i="3"/>
  <c r="M193" i="3"/>
  <c r="N193" i="3" s="1"/>
  <c r="F193" i="3"/>
  <c r="L193" i="3" l="1"/>
  <c r="V193" i="3"/>
  <c r="W193" i="3" s="1"/>
  <c r="AE193" i="3"/>
  <c r="AH194" i="3" l="1"/>
  <c r="AG194" i="3"/>
  <c r="U193" i="3"/>
  <c r="D194" i="3" s="1"/>
  <c r="Y192" i="3"/>
  <c r="E194" i="3" l="1"/>
  <c r="H194" i="3" s="1"/>
  <c r="K194" i="3" s="1"/>
  <c r="G194" i="3"/>
  <c r="F194" i="3" l="1"/>
  <c r="V194" i="3"/>
  <c r="AE194" i="3"/>
  <c r="I194" i="3"/>
  <c r="J194" i="3"/>
  <c r="M194" i="3"/>
  <c r="N194" i="3" s="1"/>
  <c r="W194" i="3" l="1"/>
  <c r="L194" i="3"/>
  <c r="U194" i="3" l="1"/>
  <c r="D195" i="3" s="1"/>
  <c r="AH195" i="3"/>
  <c r="AG195" i="3"/>
  <c r="Y193" i="3"/>
  <c r="E195" i="3" l="1"/>
  <c r="H195" i="3" s="1"/>
  <c r="K195" i="3" s="1"/>
  <c r="G195" i="3"/>
  <c r="F195" i="3" l="1"/>
  <c r="V195" i="3"/>
  <c r="AE195" i="3"/>
  <c r="I195" i="3"/>
  <c r="J195" i="3"/>
  <c r="M195" i="3"/>
  <c r="N195" i="3" s="1"/>
  <c r="W195" i="3" l="1"/>
  <c r="L195" i="3"/>
  <c r="AH196" i="3" l="1"/>
  <c r="U195" i="3"/>
  <c r="D196" i="3" s="1"/>
  <c r="AG196" i="3"/>
  <c r="Y194" i="3"/>
  <c r="E196" i="3" l="1"/>
  <c r="H196" i="3" s="1"/>
  <c r="K196" i="3" s="1"/>
  <c r="G196" i="3"/>
  <c r="F196" i="3" l="1"/>
  <c r="I196" i="3"/>
  <c r="J196" i="3"/>
  <c r="M196" i="3"/>
  <c r="N196" i="3" s="1"/>
  <c r="V196" i="3"/>
  <c r="AE196" i="3"/>
  <c r="L196" i="3" l="1"/>
  <c r="W196" i="3"/>
  <c r="U196" i="3" l="1"/>
  <c r="E197" i="3" s="1"/>
  <c r="H197" i="3" s="1"/>
  <c r="AG197" i="3"/>
  <c r="AH197" i="3"/>
  <c r="Y195" i="3"/>
  <c r="D197" i="3" l="1"/>
  <c r="G197" i="3" s="1"/>
  <c r="K197" i="3"/>
  <c r="F197" i="3" l="1"/>
  <c r="I197" i="3"/>
  <c r="J197" i="3"/>
  <c r="M197" i="3"/>
  <c r="N197" i="3" s="1"/>
  <c r="V197" i="3"/>
  <c r="AE197" i="3"/>
  <c r="W197" i="3" l="1"/>
  <c r="L197" i="3"/>
  <c r="AG198" i="3" l="1"/>
  <c r="AH198" i="3"/>
  <c r="U197" i="3"/>
  <c r="E198" i="3" s="1"/>
  <c r="H198" i="3" s="1"/>
  <c r="Y196" i="3"/>
  <c r="K198" i="3" l="1"/>
  <c r="D198" i="3"/>
  <c r="V198" i="3" l="1"/>
  <c r="AE198" i="3"/>
  <c r="F198" i="3"/>
  <c r="G198" i="3"/>
  <c r="I198" i="3" l="1"/>
  <c r="W198" i="3" s="1"/>
  <c r="J198" i="3"/>
  <c r="M198" i="3"/>
  <c r="N198" i="3" s="1"/>
  <c r="L198" i="3" l="1"/>
  <c r="AG199" i="3" l="1"/>
  <c r="U198" i="3"/>
  <c r="E199" i="3" s="1"/>
  <c r="H199" i="3" s="1"/>
  <c r="AH199" i="3"/>
  <c r="Y197" i="3"/>
  <c r="K199" i="3" l="1"/>
  <c r="D199" i="3"/>
  <c r="V199" i="3" l="1"/>
  <c r="AE199" i="3"/>
  <c r="F199" i="3"/>
  <c r="G199" i="3"/>
  <c r="I199" i="3" l="1"/>
  <c r="W199" i="3" s="1"/>
  <c r="J199" i="3"/>
  <c r="M199" i="3"/>
  <c r="N199" i="3" s="1"/>
  <c r="L199" i="3" l="1"/>
  <c r="AH200" i="3" l="1"/>
  <c r="AG200" i="3"/>
  <c r="U199" i="3"/>
  <c r="E200" i="3" s="1"/>
  <c r="H200" i="3" s="1"/>
  <c r="Y198" i="3"/>
  <c r="K200" i="3" l="1"/>
  <c r="D200" i="3"/>
  <c r="V200" i="3" l="1"/>
  <c r="AE200" i="3"/>
  <c r="F200" i="3"/>
  <c r="G200" i="3"/>
  <c r="I200" i="3" l="1"/>
  <c r="W200" i="3" s="1"/>
  <c r="J200" i="3"/>
  <c r="M200" i="3"/>
  <c r="N200" i="3" s="1"/>
  <c r="L200" i="3" l="1"/>
  <c r="AG201" i="3" l="1"/>
  <c r="U200" i="3"/>
  <c r="E201" i="3" s="1"/>
  <c r="H201" i="3" s="1"/>
  <c r="AH201" i="3"/>
  <c r="Y199" i="3"/>
  <c r="D201" i="3" l="1"/>
  <c r="G201" i="3" s="1"/>
  <c r="K201" i="3"/>
  <c r="F201" i="3" l="1"/>
  <c r="I201" i="3"/>
  <c r="J201" i="3"/>
  <c r="M201" i="3"/>
  <c r="N201" i="3" s="1"/>
  <c r="V201" i="3"/>
  <c r="AE201" i="3"/>
  <c r="W201" i="3" l="1"/>
  <c r="L201" i="3"/>
  <c r="U201" i="3" l="1"/>
  <c r="E202" i="3" s="1"/>
  <c r="H202" i="3" s="1"/>
  <c r="AG202" i="3"/>
  <c r="AH202" i="3"/>
  <c r="Y200" i="3"/>
  <c r="D202" i="3" l="1"/>
  <c r="G202" i="3" s="1"/>
  <c r="K202" i="3"/>
  <c r="F202" i="3" l="1"/>
  <c r="V202" i="3"/>
  <c r="AE202" i="3"/>
  <c r="I202" i="3"/>
  <c r="J202" i="3"/>
  <c r="M202" i="3"/>
  <c r="N202" i="3" s="1"/>
  <c r="W202" i="3" l="1"/>
  <c r="L202" i="3"/>
  <c r="U202" i="3" l="1"/>
  <c r="E203" i="3" s="1"/>
  <c r="H203" i="3" s="1"/>
  <c r="AH203" i="3"/>
  <c r="AG203" i="3"/>
  <c r="Y201" i="3"/>
  <c r="D203" i="3" l="1"/>
  <c r="G203" i="3" s="1"/>
  <c r="K203" i="3"/>
  <c r="F203" i="3" l="1"/>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U204" i="3" l="1"/>
  <c r="Y203" i="3"/>
  <c r="T205" i="3"/>
  <c r="AH205" i="3" s="1"/>
  <c r="E205" i="3" l="1"/>
  <c r="H205" i="3" s="1"/>
  <c r="D205" i="3"/>
  <c r="AG205" i="3"/>
  <c r="K205" i="3" l="1"/>
  <c r="F205" i="3"/>
  <c r="G205" i="3"/>
  <c r="V205" i="3" l="1"/>
  <c r="A206" i="3"/>
  <c r="B206" i="3" s="1"/>
  <c r="AE205" i="3"/>
  <c r="I205" i="3"/>
  <c r="J205" i="3"/>
  <c r="AD205" i="3" s="1"/>
  <c r="M205" i="3"/>
  <c r="N205" i="3" s="1"/>
  <c r="W205" i="3" l="1"/>
  <c r="L205" i="3"/>
  <c r="AC206" i="3"/>
  <c r="P206" i="3"/>
  <c r="Q206" i="3" s="1"/>
  <c r="R206" i="3" s="1"/>
  <c r="S206" i="3" s="1"/>
  <c r="Z206" i="3"/>
  <c r="AA206" i="3"/>
  <c r="T206" i="3" l="1"/>
  <c r="AH206" i="3" s="1"/>
  <c r="U205" i="3"/>
  <c r="Y204" i="3"/>
  <c r="AG206" i="3" l="1"/>
  <c r="D206" i="3"/>
  <c r="E206" i="3"/>
  <c r="H206" i="3" s="1"/>
  <c r="F206" i="3" l="1"/>
  <c r="G206" i="3"/>
  <c r="K206" i="3"/>
  <c r="I206" i="3" l="1"/>
  <c r="J206" i="3"/>
  <c r="AD206" i="3" s="1"/>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A209" i="3"/>
  <c r="Z209" i="3"/>
  <c r="U208" i="3" l="1"/>
  <c r="Y207" i="3"/>
  <c r="T209" i="3"/>
  <c r="AH209" i="3" s="1"/>
  <c r="AG209" i="3" l="1"/>
  <c r="D209" i="3"/>
  <c r="G209" i="3" s="1"/>
  <c r="E209" i="3"/>
  <c r="H209" i="3" s="1"/>
  <c r="F209" i="3" l="1"/>
  <c r="K209" i="3"/>
  <c r="I209" i="3"/>
  <c r="J209" i="3"/>
  <c r="AD209" i="3" s="1"/>
  <c r="M209" i="3"/>
  <c r="N209" i="3" s="1"/>
  <c r="L209" i="3" l="1"/>
  <c r="V209" i="3"/>
  <c r="W209" i="3" s="1"/>
  <c r="A210" i="3"/>
  <c r="B210" i="3" s="1"/>
  <c r="AE209" i="3"/>
  <c r="AC210" i="3" l="1"/>
  <c r="Z210" i="3"/>
  <c r="P210" i="3"/>
  <c r="Q210" i="3" s="1"/>
  <c r="R210" i="3" s="1"/>
  <c r="S210" i="3" s="1"/>
  <c r="AA210" i="3"/>
  <c r="U209" i="3"/>
  <c r="Y208" i="3"/>
  <c r="T210" i="3" l="1"/>
  <c r="AG210" i="3" s="1"/>
  <c r="AH210" i="3" l="1"/>
  <c r="D210" i="3"/>
  <c r="E210" i="3"/>
  <c r="H210" i="3" s="1"/>
  <c r="F210" i="3" l="1"/>
  <c r="G210" i="3"/>
  <c r="K210" i="3"/>
  <c r="V210" i="3" l="1"/>
  <c r="AE210" i="3"/>
  <c r="A211" i="3"/>
  <c r="B211" i="3" s="1"/>
  <c r="I210" i="3"/>
  <c r="J210" i="3"/>
  <c r="AD210" i="3" s="1"/>
  <c r="M210" i="3"/>
  <c r="N210" i="3" s="1"/>
  <c r="W210" i="3" l="1"/>
  <c r="AC211" i="3"/>
  <c r="Z211" i="3"/>
  <c r="P211" i="3"/>
  <c r="Q211" i="3" s="1"/>
  <c r="R211" i="3" s="1"/>
  <c r="S211" i="3" s="1"/>
  <c r="AA211" i="3"/>
  <c r="L210" i="3"/>
  <c r="T211" i="3" l="1"/>
  <c r="AG211" i="3" s="1"/>
  <c r="U210" i="3"/>
  <c r="Y209" i="3"/>
  <c r="E211" i="3" l="1"/>
  <c r="H211" i="3" s="1"/>
  <c r="D211" i="3"/>
  <c r="AH211" i="3"/>
  <c r="K211" i="3" l="1"/>
  <c r="F211" i="3"/>
  <c r="G211" i="3"/>
  <c r="I211" i="3" l="1"/>
  <c r="J211" i="3"/>
  <c r="AD211" i="3" s="1"/>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C213" i="3" l="1"/>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AD213" i="3" s="1"/>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AD217" i="3"/>
  <c r="T217" i="3" l="1"/>
  <c r="D217" i="3" s="1"/>
  <c r="G217" i="3" l="1"/>
  <c r="AG217" i="3"/>
  <c r="AH217" i="3"/>
  <c r="E217" i="3"/>
  <c r="H217" i="3" s="1"/>
  <c r="I217" i="3" l="1"/>
  <c r="J217" i="3"/>
  <c r="M217" i="3"/>
  <c r="N217" i="3" s="1"/>
  <c r="K217" i="3"/>
  <c r="AE217" i="3" s="1"/>
  <c r="F217" i="3"/>
  <c r="V217" i="3" l="1"/>
  <c r="W217" i="3" s="1"/>
  <c r="A218" i="3"/>
  <c r="B218" i="3" s="1"/>
  <c r="L217" i="3"/>
  <c r="U217" i="3" l="1"/>
  <c r="Y216" i="3"/>
  <c r="AC218" i="3"/>
  <c r="AA218" i="3"/>
  <c r="Z218" i="3"/>
  <c r="P218" i="3"/>
  <c r="Q218" i="3" s="1"/>
  <c r="R218" i="3" s="1"/>
  <c r="S218" i="3" s="1"/>
  <c r="AD218" i="3"/>
  <c r="T218" i="3" l="1"/>
  <c r="AG218" i="3" s="1"/>
  <c r="AH218" i="3" l="1"/>
  <c r="E218" i="3"/>
  <c r="H218" i="3" s="1"/>
  <c r="K218" i="3" s="1"/>
  <c r="AE218" i="3" s="1"/>
  <c r="D218" i="3"/>
  <c r="G218" i="3" s="1"/>
  <c r="F218" i="3" l="1"/>
  <c r="I218" i="3"/>
  <c r="J218" i="3"/>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AD222" i="3"/>
  <c r="U221" i="3"/>
  <c r="Y220" i="3"/>
  <c r="T222" i="3" l="1"/>
  <c r="AH222" i="3" s="1"/>
  <c r="E222" i="3" l="1"/>
  <c r="H222" i="3" s="1"/>
  <c r="AG222" i="3"/>
  <c r="D222" i="3"/>
  <c r="F222" i="3" l="1"/>
  <c r="G222" i="3"/>
  <c r="K222" i="3"/>
  <c r="AE222" i="3" s="1"/>
  <c r="I222" i="3" l="1"/>
  <c r="J222" i="3"/>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AD225" i="3"/>
  <c r="Z225" i="3"/>
  <c r="U224" i="3" l="1"/>
  <c r="Y223" i="3"/>
  <c r="T225" i="3"/>
  <c r="AG225" i="3" s="1"/>
  <c r="AH225" i="3" l="1"/>
  <c r="E225" i="3"/>
  <c r="H225" i="3" s="1"/>
  <c r="D225" i="3"/>
  <c r="K225" i="3" l="1"/>
  <c r="AE225" i="3" s="1"/>
  <c r="F225" i="3"/>
  <c r="G225" i="3"/>
  <c r="I225" i="3" l="1"/>
  <c r="J225" i="3"/>
  <c r="M225" i="3"/>
  <c r="N225" i="3" s="1"/>
  <c r="V225" i="3"/>
  <c r="A226" i="3"/>
  <c r="B226" i="3" s="1"/>
  <c r="W225" i="3" l="1"/>
  <c r="L225" i="3"/>
  <c r="AD226" i="3"/>
  <c r="Z226" i="3"/>
  <c r="AA226" i="3"/>
  <c r="P226" i="3"/>
  <c r="Q226" i="3" s="1"/>
  <c r="R226" i="3" s="1"/>
  <c r="S226" i="3" s="1"/>
  <c r="AC226" i="3"/>
  <c r="U225" i="3" l="1"/>
  <c r="Y224" i="3"/>
  <c r="T226" i="3"/>
  <c r="D226" i="3" l="1"/>
  <c r="G226" i="3" s="1"/>
  <c r="AH226" i="3"/>
  <c r="AG226" i="3"/>
  <c r="E226" i="3"/>
  <c r="H226" i="3" s="1"/>
  <c r="F226" i="3" l="1"/>
  <c r="I226" i="3"/>
  <c r="J226" i="3"/>
  <c r="M226" i="3"/>
  <c r="N226" i="3" s="1"/>
  <c r="K226" i="3"/>
  <c r="AE226" i="3" s="1"/>
  <c r="V226" i="3" l="1"/>
  <c r="W226" i="3" s="1"/>
  <c r="A227" i="3"/>
  <c r="B227" i="3" s="1"/>
  <c r="L226" i="3"/>
  <c r="U226" i="3" l="1"/>
  <c r="Y225" i="3"/>
  <c r="P227" i="3"/>
  <c r="Q227" i="3" s="1"/>
  <c r="R227" i="3" s="1"/>
  <c r="S227" i="3" s="1"/>
  <c r="AA227" i="3"/>
  <c r="Z227" i="3"/>
  <c r="AD227" i="3"/>
  <c r="AC227" i="3"/>
  <c r="T227" i="3" l="1"/>
  <c r="D227" i="3" s="1"/>
  <c r="E227" i="3" l="1"/>
  <c r="H227" i="3" s="1"/>
  <c r="K227" i="3" s="1"/>
  <c r="AE227" i="3" s="1"/>
  <c r="AH227" i="3"/>
  <c r="AG227" i="3"/>
  <c r="G227" i="3"/>
  <c r="F227" i="3" l="1"/>
  <c r="V227" i="3"/>
  <c r="A228" i="3"/>
  <c r="B228" i="3" s="1"/>
  <c r="I227" i="3"/>
  <c r="J227" i="3"/>
  <c r="M227" i="3"/>
  <c r="N227" i="3" s="1"/>
  <c r="L227" i="3" l="1"/>
  <c r="W227" i="3"/>
  <c r="AD228"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M228" i="3"/>
  <c r="N228" i="3" s="1"/>
  <c r="W228" i="3" l="1"/>
  <c r="L228" i="3"/>
  <c r="AA229" i="3"/>
  <c r="AD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M229" i="3"/>
  <c r="N229" i="3" s="1"/>
  <c r="L229" i="3" l="1"/>
  <c r="W229" i="3"/>
  <c r="P230" i="3"/>
  <c r="Q230" i="3" s="1"/>
  <c r="R230" i="3" s="1"/>
  <c r="S230" i="3" s="1"/>
  <c r="AA230" i="3"/>
  <c r="AC230" i="3"/>
  <c r="AD230" i="3"/>
  <c r="Z230" i="3"/>
  <c r="U229" i="3" l="1"/>
  <c r="Y228" i="3"/>
  <c r="T230" i="3"/>
  <c r="AH230" i="3" s="1"/>
  <c r="AG230" i="3" l="1"/>
  <c r="D230" i="3"/>
  <c r="E230" i="3"/>
  <c r="H230" i="3" s="1"/>
  <c r="K230" i="3" l="1"/>
  <c r="AE230" i="3" s="1"/>
  <c r="F230" i="3"/>
  <c r="G230" i="3"/>
  <c r="I230" i="3" l="1"/>
  <c r="J230" i="3"/>
  <c r="M230" i="3"/>
  <c r="N230" i="3" s="1"/>
  <c r="V230" i="3"/>
  <c r="A231" i="3"/>
  <c r="B231" i="3" s="1"/>
  <c r="W230" i="3" l="1"/>
  <c r="L230" i="3"/>
  <c r="AD231"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M231" i="3"/>
  <c r="N231" i="3" s="1"/>
  <c r="L231" i="3" l="1"/>
  <c r="W231" i="3"/>
  <c r="P232" i="3"/>
  <c r="Q232" i="3" s="1"/>
  <c r="R232" i="3" s="1"/>
  <c r="S232" i="3" s="1"/>
  <c r="AD232" i="3"/>
  <c r="Z232" i="3"/>
  <c r="AA232" i="3"/>
  <c r="AC232" i="3"/>
  <c r="U231" i="3" l="1"/>
  <c r="Y230" i="3"/>
  <c r="T232" i="3"/>
  <c r="D232" i="3" l="1"/>
  <c r="G232" i="3" s="1"/>
  <c r="AG232" i="3"/>
  <c r="E232" i="3"/>
  <c r="H232" i="3" s="1"/>
  <c r="AH232" i="3"/>
  <c r="F232" i="3" l="1"/>
  <c r="I232" i="3"/>
  <c r="J232" i="3"/>
  <c r="M232" i="3"/>
  <c r="N232" i="3" s="1"/>
  <c r="K232" i="3"/>
  <c r="AE232" i="3" s="1"/>
  <c r="V232" i="3" l="1"/>
  <c r="W232" i="3" s="1"/>
  <c r="A233" i="3"/>
  <c r="B233" i="3" s="1"/>
  <c r="L232" i="3"/>
  <c r="U232" i="3" l="1"/>
  <c r="Y231" i="3"/>
  <c r="AA233" i="3"/>
  <c r="AD233" i="3"/>
  <c r="AC233" i="3"/>
  <c r="P233" i="3"/>
  <c r="Q233" i="3" s="1"/>
  <c r="R233" i="3" s="1"/>
  <c r="S233" i="3" s="1"/>
  <c r="Z233" i="3"/>
  <c r="T233" i="3" l="1"/>
  <c r="D233" i="3" s="1"/>
  <c r="AG233" i="3" l="1"/>
  <c r="AH233" i="3"/>
  <c r="E233" i="3"/>
  <c r="H233" i="3" s="1"/>
  <c r="K233" i="3" s="1"/>
  <c r="AE233" i="3" s="1"/>
  <c r="G233" i="3"/>
  <c r="F233" i="3" l="1"/>
  <c r="I233" i="3"/>
  <c r="J233" i="3"/>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D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L237" i="3" s="1"/>
  <c r="P238" i="3"/>
  <c r="Q238" i="3" s="1"/>
  <c r="R238" i="3" s="1"/>
  <c r="S238" i="3" s="1"/>
  <c r="Z238" i="3"/>
  <c r="AC238" i="3"/>
  <c r="AA238" i="3"/>
  <c r="AD238" i="3"/>
  <c r="T238" i="3" l="1"/>
  <c r="AG238" i="3" s="1"/>
  <c r="U237" i="3"/>
  <c r="Y236" i="3"/>
  <c r="AH238" i="3" l="1"/>
  <c r="E238" i="3"/>
  <c r="H238" i="3" s="1"/>
  <c r="K238" i="3" s="1"/>
  <c r="AE238" i="3" s="1"/>
  <c r="D238" i="3"/>
  <c r="F238" i="3" l="1"/>
  <c r="G238" i="3"/>
  <c r="M238" i="3" s="1"/>
  <c r="N238" i="3" s="1"/>
  <c r="V238" i="3"/>
  <c r="A239" i="3"/>
  <c r="B239" i="3" s="1"/>
  <c r="I238" i="3" l="1"/>
  <c r="W238" i="3" s="1"/>
  <c r="J238" i="3"/>
  <c r="L238" i="3" s="1"/>
  <c r="AD239" i="3"/>
  <c r="P239" i="3"/>
  <c r="Q239" i="3" s="1"/>
  <c r="R239" i="3" s="1"/>
  <c r="S239" i="3" s="1"/>
  <c r="AC239" i="3"/>
  <c r="Z239" i="3"/>
  <c r="AA239" i="3"/>
  <c r="T239" i="3" l="1"/>
  <c r="U238" i="3"/>
  <c r="Y237" i="3"/>
  <c r="D239" i="3" l="1"/>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D242" i="3"/>
  <c r="AC242" i="3"/>
  <c r="T242" i="3" l="1"/>
  <c r="D242" i="3" s="1"/>
  <c r="E242" i="3" l="1"/>
  <c r="H242" i="3" s="1"/>
  <c r="K242" i="3" s="1"/>
  <c r="AE242" i="3" s="1"/>
  <c r="G242" i="3"/>
  <c r="AH242" i="3"/>
  <c r="AG242" i="3"/>
  <c r="F242" i="3" l="1"/>
  <c r="I242" i="3"/>
  <c r="J242" i="3"/>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AD247" i="3"/>
  <c r="U246" i="3" l="1"/>
  <c r="Y245" i="3"/>
  <c r="T247" i="3"/>
  <c r="AG247" i="3" s="1"/>
  <c r="AH247" i="3" l="1"/>
  <c r="D247" i="3"/>
  <c r="E247" i="3"/>
  <c r="H247" i="3" s="1"/>
  <c r="K247" i="3" s="1"/>
  <c r="AE247" i="3" s="1"/>
  <c r="F247" i="3" l="1"/>
  <c r="G247" i="3"/>
  <c r="M247" i="3" s="1"/>
  <c r="N247" i="3" s="1"/>
  <c r="V247" i="3"/>
  <c r="A248" i="3"/>
  <c r="B248" i="3" s="1"/>
  <c r="I247" i="3" l="1"/>
  <c r="W247" i="3" s="1"/>
  <c r="J247" i="3"/>
  <c r="L247" i="3" s="1"/>
  <c r="Z248" i="3"/>
  <c r="P248" i="3"/>
  <c r="Q248" i="3" s="1"/>
  <c r="R248" i="3" s="1"/>
  <c r="S248" i="3" s="1"/>
  <c r="AA248" i="3"/>
  <c r="AC248" i="3"/>
  <c r="AD248" i="3"/>
  <c r="U247" i="3" l="1"/>
  <c r="Y246" i="3"/>
  <c r="T248" i="3"/>
  <c r="AG248" i="3" s="1"/>
  <c r="E248" i="3" l="1"/>
  <c r="H248" i="3" s="1"/>
  <c r="K248" i="3" s="1"/>
  <c r="AE248" i="3" s="1"/>
  <c r="AH248" i="3"/>
  <c r="D248" i="3"/>
  <c r="G248" i="3" s="1"/>
  <c r="F248" i="3" l="1"/>
  <c r="I248" i="3"/>
  <c r="J248" i="3"/>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AD252"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D257"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M257" i="3"/>
  <c r="N257" i="3" s="1"/>
  <c r="W257" i="3" l="1"/>
  <c r="L257" i="3"/>
  <c r="AC258" i="3"/>
  <c r="AD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AD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AD267" i="3"/>
  <c r="T267" i="3" l="1"/>
  <c r="L266" i="3"/>
  <c r="AH267" i="3" l="1"/>
  <c r="AG267" i="3"/>
  <c r="U266" i="3"/>
  <c r="E267" i="3" s="1"/>
  <c r="H267" i="3" s="1"/>
  <c r="Y265" i="3"/>
  <c r="K267" i="3" l="1"/>
  <c r="AE267" i="3" s="1"/>
  <c r="D267" i="3"/>
  <c r="V267" i="3" l="1"/>
  <c r="A268" i="3"/>
  <c r="B268" i="3" s="1"/>
  <c r="F267" i="3"/>
  <c r="G267" i="3"/>
  <c r="I267" i="3" l="1"/>
  <c r="W267" i="3" s="1"/>
  <c r="J267" i="3"/>
  <c r="M267" i="3"/>
  <c r="N267" i="3" s="1"/>
  <c r="AC268" i="3"/>
  <c r="P268" i="3"/>
  <c r="Q268" i="3" s="1"/>
  <c r="R268" i="3" s="1"/>
  <c r="S268" i="3" s="1"/>
  <c r="Z268" i="3"/>
  <c r="AA268" i="3"/>
  <c r="AD268" i="3"/>
  <c r="T268" i="3" l="1"/>
  <c r="L267" i="3"/>
  <c r="U267" i="3" l="1"/>
  <c r="E268" i="3" s="1"/>
  <c r="H268" i="3" s="1"/>
  <c r="AH268" i="3"/>
  <c r="AG268" i="3"/>
  <c r="Y266" i="3"/>
  <c r="K268" i="3" l="1"/>
  <c r="AE268" i="3" s="1"/>
  <c r="D268" i="3"/>
  <c r="V268" i="3" l="1"/>
  <c r="A269" i="3"/>
  <c r="B269" i="3" s="1"/>
  <c r="F268" i="3"/>
  <c r="G268" i="3"/>
  <c r="I268" i="3" l="1"/>
  <c r="W268" i="3" s="1"/>
  <c r="J268" i="3"/>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AD272" i="3"/>
  <c r="Z272" i="3"/>
  <c r="AA272" i="3"/>
  <c r="P272" i="3"/>
  <c r="Q272" i="3" s="1"/>
  <c r="R272" i="3" s="1"/>
  <c r="S272" i="3" s="1"/>
  <c r="AC272" i="3"/>
  <c r="T272" i="3" l="1"/>
  <c r="U271" i="3"/>
  <c r="Y270" i="3"/>
  <c r="D272" i="3" l="1"/>
  <c r="G272" i="3" s="1"/>
  <c r="E272" i="3"/>
  <c r="H272" i="3" s="1"/>
  <c r="K272" i="3" s="1"/>
  <c r="AE272" i="3" s="1"/>
  <c r="AG272" i="3"/>
  <c r="AH272" i="3"/>
  <c r="F272" i="3" l="1"/>
  <c r="I272" i="3"/>
  <c r="J272" i="3"/>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D277" i="3"/>
  <c r="AA277" i="3"/>
  <c r="U276" i="3" l="1"/>
  <c r="Y275" i="3"/>
  <c r="T277" i="3"/>
  <c r="AG277" i="3" s="1"/>
  <c r="D277" i="3" l="1"/>
  <c r="G277" i="3" s="1"/>
  <c r="E277" i="3"/>
  <c r="H277" i="3" s="1"/>
  <c r="K277" i="3" s="1"/>
  <c r="AE277" i="3" s="1"/>
  <c r="AH277" i="3"/>
  <c r="F277" i="3" l="1"/>
  <c r="V277" i="3"/>
  <c r="A278" i="3"/>
  <c r="B278" i="3" s="1"/>
  <c r="I277" i="3"/>
  <c r="J277" i="3"/>
  <c r="M277" i="3"/>
  <c r="N277" i="3" s="1"/>
  <c r="W277" i="3" l="1"/>
  <c r="L277" i="3"/>
  <c r="AD278"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AD282" i="3"/>
  <c r="P282" i="3"/>
  <c r="Q282" i="3" s="1"/>
  <c r="R282" i="3" s="1"/>
  <c r="S282" i="3" s="1"/>
  <c r="AA282" i="3"/>
  <c r="U281" i="3" l="1"/>
  <c r="Y280" i="3"/>
  <c r="T282" i="3"/>
  <c r="D282" i="3" l="1"/>
  <c r="G282" i="3" s="1"/>
  <c r="E282" i="3"/>
  <c r="H282" i="3" s="1"/>
  <c r="AH282" i="3"/>
  <c r="AG282" i="3"/>
  <c r="F282" i="3" l="1"/>
  <c r="I282" i="3"/>
  <c r="J282" i="3"/>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D287" i="3"/>
  <c r="AC287" i="3"/>
  <c r="T287" i="3" l="1"/>
  <c r="D287" i="3" s="1"/>
  <c r="G287" i="3" l="1"/>
  <c r="AH287" i="3"/>
  <c r="AG287" i="3"/>
  <c r="E287" i="3"/>
  <c r="H287" i="3" s="1"/>
  <c r="F287" i="3" l="1"/>
  <c r="K287" i="3"/>
  <c r="AE287" i="3" s="1"/>
  <c r="I287" i="3"/>
  <c r="J287" i="3"/>
  <c r="M287" i="3"/>
  <c r="N287" i="3" s="1"/>
  <c r="L287" i="3" l="1"/>
  <c r="V287" i="3"/>
  <c r="W287" i="3" s="1"/>
  <c r="A288" i="3"/>
  <c r="B288" i="3" s="1"/>
  <c r="U287" i="3" l="1"/>
  <c r="Y286" i="3"/>
  <c r="P288" i="3"/>
  <c r="Q288" i="3" s="1"/>
  <c r="R288" i="3" s="1"/>
  <c r="S288" i="3" s="1"/>
  <c r="AA288" i="3"/>
  <c r="AC288" i="3"/>
  <c r="AD288" i="3"/>
  <c r="Z288" i="3"/>
  <c r="T288" i="3" l="1"/>
  <c r="D288" i="3" s="1"/>
  <c r="AG288" i="3" l="1"/>
  <c r="AH288" i="3"/>
  <c r="E288" i="3"/>
  <c r="H288" i="3" s="1"/>
  <c r="K288" i="3" s="1"/>
  <c r="AE288" i="3" s="1"/>
  <c r="G288" i="3"/>
  <c r="F288" i="3" l="1"/>
  <c r="I288" i="3"/>
  <c r="J288" i="3"/>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D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AD297" i="3"/>
  <c r="T297" i="3" l="1"/>
  <c r="E297" i="3" s="1"/>
  <c r="H297" i="3" s="1"/>
  <c r="D297" i="3" l="1"/>
  <c r="F297" i="3" s="1"/>
  <c r="AG297" i="3"/>
  <c r="K297" i="3"/>
  <c r="AE297" i="3" s="1"/>
  <c r="AH297" i="3"/>
  <c r="G297" i="3" l="1"/>
  <c r="M297" i="3" s="1"/>
  <c r="N297" i="3" s="1"/>
  <c r="V297" i="3"/>
  <c r="A298" i="3"/>
  <c r="B298" i="3" s="1"/>
  <c r="J297" i="3" l="1"/>
  <c r="L297" i="3" s="1"/>
  <c r="I297" i="3"/>
  <c r="W297" i="3" s="1"/>
  <c r="Z298" i="3"/>
  <c r="AD298" i="3"/>
  <c r="P298" i="3"/>
  <c r="Q298" i="3" s="1"/>
  <c r="R298" i="3" s="1"/>
  <c r="S298" i="3" s="1"/>
  <c r="AA298" i="3"/>
  <c r="AC298" i="3"/>
  <c r="T298" i="3" l="1"/>
  <c r="U297" i="3"/>
  <c r="Y296" i="3"/>
  <c r="E298" i="3" l="1"/>
  <c r="H298" i="3" s="1"/>
  <c r="K298" i="3" s="1"/>
  <c r="AE298" i="3" s="1"/>
  <c r="AH298" i="3"/>
  <c r="D298" i="3"/>
  <c r="AG298" i="3"/>
  <c r="F298" i="3" l="1"/>
  <c r="G298" i="3"/>
  <c r="V298" i="3"/>
  <c r="A299" i="3"/>
  <c r="B299" i="3" s="1"/>
  <c r="I298" i="3" l="1"/>
  <c r="W298" i="3" s="1"/>
  <c r="J298" i="3"/>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AD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L302" i="3" s="1"/>
  <c r="AD303" i="3"/>
  <c r="Z303" i="3"/>
  <c r="P303" i="3"/>
  <c r="Q303" i="3" s="1"/>
  <c r="R303" i="3" s="1"/>
  <c r="S303" i="3" s="1"/>
  <c r="AA303" i="3"/>
  <c r="AC303" i="3"/>
  <c r="T303" i="3" l="1"/>
  <c r="U302" i="3"/>
  <c r="Y301" i="3"/>
  <c r="E303" i="3" l="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AD307" i="3"/>
  <c r="T307" i="3" l="1"/>
  <c r="AH307" i="3" s="1"/>
  <c r="U306" i="3"/>
  <c r="Y305" i="3"/>
  <c r="D307" i="3" l="1"/>
  <c r="E307" i="3"/>
  <c r="H307" i="3" s="1"/>
  <c r="AG307" i="3"/>
  <c r="F307" i="3" l="1"/>
  <c r="G307" i="3"/>
  <c r="K307" i="3"/>
  <c r="AE307" i="3" s="1"/>
  <c r="I307" i="3" l="1"/>
  <c r="J307" i="3"/>
  <c r="M307" i="3"/>
  <c r="N307" i="3" s="1"/>
  <c r="V307" i="3"/>
  <c r="A308" i="3"/>
  <c r="B308" i="3" s="1"/>
  <c r="L307" i="3" l="1"/>
  <c r="Z308" i="3"/>
  <c r="AD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AD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D317" i="3"/>
  <c r="AC317" i="3"/>
  <c r="T317" i="3" l="1"/>
  <c r="AG317" i="3" s="1"/>
  <c r="U316" i="3"/>
  <c r="Y315" i="3"/>
  <c r="E317" i="3" l="1"/>
  <c r="H317" i="3" s="1"/>
  <c r="K317" i="3" s="1"/>
  <c r="AE317" i="3" s="1"/>
  <c r="D317" i="3"/>
  <c r="AH317" i="3"/>
  <c r="V317" i="3" l="1"/>
  <c r="A318" i="3"/>
  <c r="B318" i="3" s="1"/>
  <c r="F317" i="3"/>
  <c r="G317" i="3"/>
  <c r="I317" i="3" l="1"/>
  <c r="W317" i="3" s="1"/>
  <c r="J317" i="3"/>
  <c r="M317" i="3"/>
  <c r="N317" i="3" s="1"/>
  <c r="AA318" i="3"/>
  <c r="P318" i="3"/>
  <c r="Q318" i="3" s="1"/>
  <c r="R318" i="3" s="1"/>
  <c r="S318" i="3" s="1"/>
  <c r="Z318" i="3"/>
  <c r="AC318" i="3"/>
  <c r="AD318" i="3"/>
  <c r="T318" i="3" l="1"/>
  <c r="L317" i="3"/>
  <c r="AH318" i="3" l="1"/>
  <c r="AG318" i="3"/>
  <c r="U317" i="3"/>
  <c r="E318" i="3" s="1"/>
  <c r="H318" i="3" s="1"/>
  <c r="Y316" i="3"/>
  <c r="K318" i="3" l="1"/>
  <c r="AE318" i="3" s="1"/>
  <c r="D318" i="3"/>
  <c r="V318" i="3" l="1"/>
  <c r="A319" i="3"/>
  <c r="B319" i="3" s="1"/>
  <c r="F318" i="3"/>
  <c r="G318" i="3"/>
  <c r="I318" i="3" l="1"/>
  <c r="W318" i="3" s="1"/>
  <c r="J318" i="3"/>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D322" i="3"/>
  <c r="AA322" i="3"/>
  <c r="T322" i="3" l="1"/>
  <c r="AH322" i="3" s="1"/>
  <c r="E322" i="3" l="1"/>
  <c r="H322" i="3" s="1"/>
  <c r="K322" i="3" s="1"/>
  <c r="AE322" i="3" s="1"/>
  <c r="AG322" i="3"/>
  <c r="D322" i="3"/>
  <c r="V322" i="3" l="1"/>
  <c r="A323" i="3"/>
  <c r="B323" i="3" s="1"/>
  <c r="F322" i="3"/>
  <c r="G322" i="3"/>
  <c r="I322" i="3" l="1"/>
  <c r="W322" i="3" s="1"/>
  <c r="J322" i="3"/>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D345" i="3"/>
  <c r="AA345" i="3"/>
  <c r="L344" i="3"/>
  <c r="T345" i="3" l="1"/>
  <c r="U344" i="3"/>
  <c r="Y343" i="3"/>
  <c r="E345" i="3" l="1"/>
  <c r="H345" i="3" s="1"/>
  <c r="K345" i="3" s="1"/>
  <c r="AE345" i="3" s="1"/>
  <c r="AH345" i="3"/>
  <c r="D345" i="3"/>
  <c r="AG345" i="3"/>
  <c r="F345" i="3" l="1"/>
  <c r="G345" i="3"/>
  <c r="V345" i="3"/>
  <c r="A346" i="3"/>
  <c r="B346" i="3" s="1"/>
  <c r="AD346" i="3" l="1"/>
  <c r="AC346" i="3"/>
  <c r="P346" i="3"/>
  <c r="Q346" i="3" s="1"/>
  <c r="R346" i="3" s="1"/>
  <c r="S346" i="3" s="1"/>
  <c r="AA346" i="3"/>
  <c r="Z346" i="3"/>
  <c r="I345" i="3"/>
  <c r="W345" i="3" s="1"/>
  <c r="J345" i="3"/>
  <c r="M345" i="3"/>
  <c r="N345" i="3" s="1"/>
  <c r="L345" i="3" l="1"/>
  <c r="T346" i="3"/>
  <c r="AH346" i="3" l="1"/>
  <c r="AG346" i="3"/>
  <c r="U345" i="3"/>
  <c r="D346" i="3" s="1"/>
  <c r="Y344" i="3"/>
  <c r="G346" i="3" l="1"/>
  <c r="E346" i="3"/>
  <c r="H346" i="3" s="1"/>
  <c r="F346" i="3" l="1"/>
  <c r="I346" i="3"/>
  <c r="J346" i="3"/>
  <c r="M346" i="3"/>
  <c r="N346" i="3" s="1"/>
  <c r="K346" i="3"/>
  <c r="AE346" i="3" s="1"/>
  <c r="V346" i="3" l="1"/>
  <c r="W346" i="3" s="1"/>
  <c r="A347" i="3"/>
  <c r="B347" i="3" s="1"/>
  <c r="L346" i="3"/>
  <c r="U346" i="3" l="1"/>
  <c r="Y345" i="3"/>
  <c r="AC347" i="3"/>
  <c r="Z347" i="3"/>
  <c r="AA347" i="3"/>
  <c r="P347" i="3"/>
  <c r="Q347" i="3" s="1"/>
  <c r="R347" i="3" s="1"/>
  <c r="S347" i="3" s="1"/>
  <c r="AD347" i="3"/>
  <c r="T347" i="3" l="1"/>
  <c r="E347" i="3" s="1"/>
  <c r="H347" i="3" s="1"/>
  <c r="K347" i="3" l="1"/>
  <c r="AE347" i="3" s="1"/>
  <c r="AH347" i="3"/>
  <c r="AG347" i="3"/>
  <c r="D347" i="3"/>
  <c r="F347" i="3" l="1"/>
  <c r="G347" i="3"/>
  <c r="V347" i="3"/>
  <c r="A348" i="3"/>
  <c r="B348" i="3" s="1"/>
  <c r="I347" i="3" l="1"/>
  <c r="W347" i="3" s="1"/>
  <c r="J347" i="3"/>
  <c r="M347" i="3"/>
  <c r="N347" i="3" s="1"/>
  <c r="AC348" i="3"/>
  <c r="AA348" i="3"/>
  <c r="P348" i="3"/>
  <c r="Q348" i="3" s="1"/>
  <c r="R348" i="3" s="1"/>
  <c r="S348" i="3" s="1"/>
  <c r="AD348" i="3"/>
  <c r="Z348" i="3"/>
  <c r="L347" i="3" l="1"/>
  <c r="T348" i="3"/>
  <c r="U347" i="3" l="1"/>
  <c r="D348" i="3" s="1"/>
  <c r="AH348" i="3"/>
  <c r="AG348" i="3"/>
  <c r="Y346" i="3"/>
  <c r="E348" i="3" l="1"/>
  <c r="H348" i="3" s="1"/>
  <c r="K348" i="3" s="1"/>
  <c r="AE348" i="3" s="1"/>
  <c r="G348" i="3"/>
  <c r="F348" i="3" l="1"/>
  <c r="I348" i="3"/>
  <c r="J348" i="3"/>
  <c r="M348" i="3"/>
  <c r="N348" i="3" s="1"/>
  <c r="V348" i="3"/>
  <c r="A349" i="3"/>
  <c r="B349" i="3" s="1"/>
  <c r="W348" i="3" l="1"/>
  <c r="L348" i="3"/>
  <c r="AC349" i="3"/>
  <c r="P349" i="3"/>
  <c r="Q349" i="3" s="1"/>
  <c r="R349" i="3" s="1"/>
  <c r="S349" i="3" s="1"/>
  <c r="AA349" i="3"/>
  <c r="Z349" i="3"/>
  <c r="AD349" i="3"/>
  <c r="U348" i="3" l="1"/>
  <c r="Y347" i="3"/>
  <c r="T349" i="3"/>
  <c r="AG349" i="3" s="1"/>
  <c r="E349" i="3" l="1"/>
  <c r="H349" i="3" s="1"/>
  <c r="K349" i="3" s="1"/>
  <c r="AE349" i="3" s="1"/>
  <c r="D349" i="3"/>
  <c r="AH349" i="3"/>
  <c r="V349" i="3" l="1"/>
  <c r="A350" i="3"/>
  <c r="B350" i="3" s="1"/>
  <c r="F349" i="3"/>
  <c r="G349" i="3"/>
  <c r="I349" i="3" l="1"/>
  <c r="W349" i="3" s="1"/>
  <c r="J349" i="3"/>
  <c r="M349" i="3"/>
  <c r="N349" i="3" s="1"/>
  <c r="AD350" i="3"/>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M350" i="3"/>
  <c r="N350" i="3" s="1"/>
  <c r="W350" i="3" l="1"/>
  <c r="L350" i="3"/>
  <c r="AA351" i="3"/>
  <c r="P351" i="3"/>
  <c r="Q351" i="3" s="1"/>
  <c r="R351" i="3" s="1"/>
  <c r="S351" i="3" s="1"/>
  <c r="Z351" i="3"/>
  <c r="AC351" i="3"/>
  <c r="AD351" i="3"/>
  <c r="U350" i="3" l="1"/>
  <c r="Y349" i="3"/>
  <c r="T351" i="3"/>
  <c r="D351" i="3" l="1"/>
  <c r="G351" i="3" s="1"/>
  <c r="AH351" i="3"/>
  <c r="E351" i="3"/>
  <c r="H351" i="3" s="1"/>
  <c r="K351" i="3" s="1"/>
  <c r="AE351" i="3" s="1"/>
  <c r="AG351" i="3"/>
  <c r="F351" i="3" l="1"/>
  <c r="V351" i="3"/>
  <c r="A352" i="3"/>
  <c r="B352" i="3" s="1"/>
  <c r="I351" i="3"/>
  <c r="J351" i="3"/>
  <c r="M351" i="3"/>
  <c r="N351" i="3" s="1"/>
  <c r="L351" i="3" l="1"/>
  <c r="W351" i="3"/>
  <c r="AC352" i="3"/>
  <c r="AD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D353" i="3"/>
  <c r="AA353" i="3"/>
  <c r="P353" i="3"/>
  <c r="Q353" i="3" s="1"/>
  <c r="R353" i="3" s="1"/>
  <c r="S353" i="3" s="1"/>
  <c r="Z353" i="3"/>
  <c r="I352" i="3"/>
  <c r="W352" i="3" s="1"/>
  <c r="J352" i="3"/>
  <c r="M352" i="3"/>
  <c r="N352" i="3" s="1"/>
  <c r="T353" i="3" l="1"/>
  <c r="L352" i="3"/>
  <c r="U352" i="3" l="1"/>
  <c r="D353" i="3" s="1"/>
  <c r="AH353" i="3"/>
  <c r="AG353" i="3"/>
  <c r="Y351" i="3"/>
  <c r="E353" i="3" l="1"/>
  <c r="H353" i="3" s="1"/>
  <c r="K353" i="3" s="1"/>
  <c r="AE353" i="3" s="1"/>
  <c r="G353" i="3"/>
  <c r="F353" i="3" l="1"/>
  <c r="I353" i="3"/>
  <c r="J353" i="3"/>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D367" i="3"/>
  <c r="AA367" i="3"/>
  <c r="T367" i="3" l="1"/>
  <c r="AG367" i="3" s="1"/>
  <c r="U366" i="3"/>
  <c r="Y365" i="3"/>
  <c r="D367" i="3" l="1"/>
  <c r="AH367" i="3"/>
  <c r="E367" i="3"/>
  <c r="H367" i="3" s="1"/>
  <c r="F367" i="3" l="1"/>
  <c r="G367" i="3"/>
  <c r="K367" i="3"/>
  <c r="AE367" i="3" s="1"/>
  <c r="I367" i="3" l="1"/>
  <c r="J367" i="3"/>
  <c r="M367" i="3"/>
  <c r="N367" i="3" s="1"/>
  <c r="V367" i="3"/>
  <c r="A368" i="3"/>
  <c r="B368" i="3" s="1"/>
  <c r="L367" i="3" l="1"/>
  <c r="W367" i="3"/>
  <c r="Z368" i="3"/>
  <c r="P368" i="3"/>
  <c r="Q368" i="3" s="1"/>
  <c r="R368" i="3" s="1"/>
  <c r="S368" i="3" s="1"/>
  <c r="AD368" i="3"/>
  <c r="AC368" i="3"/>
  <c r="AA368" i="3"/>
  <c r="T368" i="3" l="1"/>
  <c r="AH368" i="3" s="1"/>
  <c r="U367" i="3"/>
  <c r="Y366" i="3"/>
  <c r="E368" i="3" l="1"/>
  <c r="H368" i="3" s="1"/>
  <c r="K368" i="3" s="1"/>
  <c r="AE368" i="3" s="1"/>
  <c r="D368" i="3"/>
  <c r="AG368" i="3"/>
  <c r="V368" i="3" l="1"/>
  <c r="A369" i="3"/>
  <c r="B369" i="3" s="1"/>
  <c r="F368" i="3"/>
  <c r="G368" i="3"/>
  <c r="I368" i="3" l="1"/>
  <c r="W368" i="3" s="1"/>
  <c r="J368" i="3"/>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AD372" i="3"/>
  <c r="L371" i="3" l="1"/>
  <c r="T372" i="3"/>
  <c r="U371" i="3" l="1"/>
  <c r="E372" i="3" s="1"/>
  <c r="H372" i="3" s="1"/>
  <c r="AG372" i="3"/>
  <c r="AH372" i="3"/>
  <c r="Y370" i="3"/>
  <c r="D372" i="3" l="1"/>
  <c r="F372" i="3" s="1"/>
  <c r="K372" i="3"/>
  <c r="AE372" i="3" s="1"/>
  <c r="G372" i="3" l="1"/>
  <c r="M372" i="3" s="1"/>
  <c r="N372" i="3" s="1"/>
  <c r="V372" i="3"/>
  <c r="A373" i="3"/>
  <c r="B373" i="3" s="1"/>
  <c r="J372" i="3" l="1"/>
  <c r="L372" i="3" s="1"/>
  <c r="I372" i="3"/>
  <c r="W372" i="3" s="1"/>
  <c r="AD373" i="3"/>
  <c r="Z373" i="3"/>
  <c r="AC373" i="3"/>
  <c r="P373" i="3"/>
  <c r="Q373" i="3" s="1"/>
  <c r="R373" i="3" s="1"/>
  <c r="S373" i="3" s="1"/>
  <c r="AA373" i="3"/>
  <c r="U372" i="3" l="1"/>
  <c r="Y371" i="3"/>
  <c r="T373" i="3"/>
  <c r="AH373" i="3" s="1"/>
  <c r="D373" i="3" l="1"/>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AD377" i="3"/>
  <c r="Z377" i="3"/>
  <c r="U376" i="3"/>
  <c r="Y375" i="3"/>
  <c r="T377" i="3" l="1"/>
  <c r="AH377" i="3" s="1"/>
  <c r="E377" i="3" l="1"/>
  <c r="H377" i="3" s="1"/>
  <c r="K377" i="3" s="1"/>
  <c r="AE377" i="3" s="1"/>
  <c r="D377" i="3"/>
  <c r="AG377" i="3"/>
  <c r="F377" i="3" l="1"/>
  <c r="G377" i="3"/>
  <c r="M377" i="3" s="1"/>
  <c r="N377" i="3" s="1"/>
  <c r="V377" i="3"/>
  <c r="A378" i="3"/>
  <c r="B378" i="3" s="1"/>
  <c r="I377" i="3" l="1"/>
  <c r="W377" i="3" s="1"/>
  <c r="J377" i="3"/>
  <c r="L377" i="3" s="1"/>
  <c r="AD378" i="3"/>
  <c r="Z378" i="3"/>
  <c r="AC378" i="3"/>
  <c r="P378" i="3"/>
  <c r="Q378" i="3" s="1"/>
  <c r="R378" i="3" s="1"/>
  <c r="S378" i="3" s="1"/>
  <c r="AA378" i="3"/>
  <c r="U377" i="3" l="1"/>
  <c r="Y376" i="3"/>
  <c r="T378" i="3"/>
  <c r="D378" i="3" l="1"/>
  <c r="G378" i="3" s="1"/>
  <c r="AG378" i="3"/>
  <c r="E378" i="3"/>
  <c r="H378" i="3" s="1"/>
  <c r="K378" i="3" s="1"/>
  <c r="AE378" i="3" s="1"/>
  <c r="AH378" i="3"/>
  <c r="F378" i="3" l="1"/>
  <c r="V378" i="3"/>
  <c r="A379" i="3"/>
  <c r="B379" i="3" s="1"/>
  <c r="I378" i="3"/>
  <c r="J378" i="3"/>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D382" i="3"/>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D387" i="3"/>
  <c r="AA387" i="3"/>
  <c r="P387" i="3"/>
  <c r="Q387" i="3" s="1"/>
  <c r="R387" i="3" s="1"/>
  <c r="S387" i="3" s="1"/>
  <c r="AC387" i="3"/>
  <c r="Z387" i="3"/>
  <c r="U386" i="3" l="1"/>
  <c r="Y385" i="3"/>
  <c r="T387" i="3"/>
  <c r="AG387" i="3" s="1"/>
  <c r="AH387" i="3" l="1"/>
  <c r="D387" i="3"/>
  <c r="G387" i="3" s="1"/>
  <c r="E387" i="3"/>
  <c r="H387" i="3" s="1"/>
  <c r="F387" i="3" l="1"/>
  <c r="I387" i="3"/>
  <c r="J387" i="3"/>
  <c r="M387" i="3"/>
  <c r="N387" i="3" s="1"/>
  <c r="K387" i="3"/>
  <c r="AE387" i="3" s="1"/>
  <c r="V387" i="3" l="1"/>
  <c r="W387" i="3" s="1"/>
  <c r="A388" i="3"/>
  <c r="B388" i="3" s="1"/>
  <c r="L387" i="3"/>
  <c r="U387" i="3" l="1"/>
  <c r="Y386" i="3"/>
  <c r="AA388" i="3"/>
  <c r="Z388" i="3"/>
  <c r="P388" i="3"/>
  <c r="Q388" i="3" s="1"/>
  <c r="R388" i="3" s="1"/>
  <c r="S388" i="3" s="1"/>
  <c r="AD388" i="3"/>
  <c r="AC388" i="3"/>
  <c r="T388" i="3" l="1"/>
  <c r="E388" i="3" s="1"/>
  <c r="H388" i="3" s="1"/>
  <c r="K388" i="3" l="1"/>
  <c r="AE388" i="3" s="1"/>
  <c r="D388" i="3"/>
  <c r="AG388" i="3"/>
  <c r="AH388" i="3"/>
  <c r="V388" i="3" l="1"/>
  <c r="A389" i="3"/>
  <c r="B389" i="3" s="1"/>
  <c r="F388" i="3"/>
  <c r="G388" i="3"/>
  <c r="I388" i="3" l="1"/>
  <c r="W388" i="3" s="1"/>
  <c r="J388" i="3"/>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AD392" i="3"/>
  <c r="Z392" i="3"/>
  <c r="P392" i="3"/>
  <c r="Q392" i="3" s="1"/>
  <c r="R392" i="3" s="1"/>
  <c r="S392" i="3" s="1"/>
  <c r="AA392" i="3"/>
  <c r="AC392" i="3"/>
  <c r="T392" i="3" l="1"/>
  <c r="L391" i="3"/>
  <c r="U391" i="3" l="1"/>
  <c r="D392" i="3" s="1"/>
  <c r="AH392" i="3"/>
  <c r="AG392" i="3"/>
  <c r="Y390" i="3"/>
  <c r="G392" i="3" l="1"/>
  <c r="E392" i="3"/>
  <c r="H392" i="3" s="1"/>
  <c r="F392" i="3" l="1"/>
  <c r="I392" i="3"/>
  <c r="J392" i="3"/>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AD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L397" i="3" s="1"/>
  <c r="AD398" i="3"/>
  <c r="AC398" i="3"/>
  <c r="AA398" i="3"/>
  <c r="P398" i="3"/>
  <c r="Q398" i="3" s="1"/>
  <c r="R398" i="3" s="1"/>
  <c r="S398" i="3" s="1"/>
  <c r="Z398" i="3"/>
  <c r="T398" i="3" l="1"/>
  <c r="U397" i="3"/>
  <c r="Y396" i="3"/>
  <c r="E398" i="3" l="1"/>
  <c r="H398" i="3" s="1"/>
  <c r="K398" i="3" s="1"/>
  <c r="AE398" i="3" s="1"/>
  <c r="D398" i="3"/>
  <c r="G398" i="3" s="1"/>
  <c r="AH398" i="3"/>
  <c r="AG398" i="3"/>
  <c r="F398" i="3" l="1"/>
  <c r="V398" i="3"/>
  <c r="A399" i="3"/>
  <c r="B399" i="3" s="1"/>
  <c r="I398" i="3"/>
  <c r="J398" i="3"/>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AD402" i="3"/>
  <c r="P402" i="3"/>
  <c r="Q402" i="3" s="1"/>
  <c r="R402" i="3" s="1"/>
  <c r="S402" i="3" s="1"/>
  <c r="U401" i="3" l="1"/>
  <c r="Y400" i="3"/>
  <c r="T402" i="3"/>
  <c r="AG402" i="3" s="1"/>
  <c r="AH402" i="3" l="1"/>
  <c r="E402" i="3"/>
  <c r="H402" i="3" s="1"/>
  <c r="K402" i="3" s="1"/>
  <c r="AE402" i="3" s="1"/>
  <c r="D402" i="3"/>
  <c r="G402" i="3" s="1"/>
  <c r="F402" i="3" l="1"/>
  <c r="I402" i="3"/>
  <c r="J402" i="3"/>
  <c r="M402" i="3"/>
  <c r="N402" i="3" s="1"/>
  <c r="V402" i="3"/>
  <c r="A403" i="3"/>
  <c r="B403" i="3" s="1"/>
  <c r="W402" i="3" l="1"/>
  <c r="L402" i="3"/>
  <c r="AC403" i="3"/>
  <c r="AA403" i="3"/>
  <c r="P403" i="3"/>
  <c r="Q403" i="3" s="1"/>
  <c r="R403" i="3" s="1"/>
  <c r="S403" i="3" s="1"/>
  <c r="Z403" i="3"/>
  <c r="AD403" i="3"/>
  <c r="T403" i="3" l="1"/>
  <c r="AH403" i="3" s="1"/>
  <c r="U402" i="3"/>
  <c r="Y401" i="3"/>
  <c r="AG403" i="3" l="1"/>
  <c r="D403" i="3"/>
  <c r="E403" i="3"/>
  <c r="H403" i="3" s="1"/>
  <c r="F403" i="3" l="1"/>
  <c r="G403" i="3"/>
  <c r="K403" i="3"/>
  <c r="AE403" i="3" s="1"/>
  <c r="V403" i="3" l="1"/>
  <c r="A404" i="3"/>
  <c r="B404" i="3" s="1"/>
  <c r="I403" i="3"/>
  <c r="J403" i="3"/>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D405" i="3"/>
  <c r="AA405" i="3"/>
  <c r="U404" i="3" l="1"/>
  <c r="Y403" i="3"/>
  <c r="T405" i="3"/>
  <c r="E405" i="3" l="1"/>
  <c r="H405" i="3" s="1"/>
  <c r="K405" i="3" s="1"/>
  <c r="AE405" i="3" s="1"/>
  <c r="AH405" i="3"/>
  <c r="D405" i="3"/>
  <c r="AG405" i="3"/>
  <c r="F405" i="3" l="1"/>
  <c r="G405" i="3"/>
  <c r="V405" i="3"/>
  <c r="A406" i="3"/>
  <c r="B406" i="3" s="1"/>
  <c r="AD406" i="3" l="1"/>
  <c r="AA406" i="3"/>
  <c r="AC406" i="3"/>
  <c r="Z406" i="3"/>
  <c r="P406" i="3"/>
  <c r="Q406" i="3" s="1"/>
  <c r="R406" i="3" s="1"/>
  <c r="S406" i="3" s="1"/>
  <c r="I405" i="3"/>
  <c r="W405" i="3" s="1"/>
  <c r="J405" i="3"/>
  <c r="M405" i="3"/>
  <c r="N405" i="3" s="1"/>
  <c r="T406" i="3" l="1"/>
  <c r="L405" i="3"/>
  <c r="U405" i="3" l="1"/>
  <c r="E406" i="3" s="1"/>
  <c r="H406" i="3" s="1"/>
  <c r="AH406" i="3"/>
  <c r="AG406" i="3"/>
  <c r="Y404" i="3"/>
  <c r="K406" i="3" l="1"/>
  <c r="AE406" i="3" s="1"/>
  <c r="D406" i="3"/>
  <c r="V406" i="3" l="1"/>
  <c r="A407" i="3"/>
  <c r="B407" i="3" s="1"/>
  <c r="F406" i="3"/>
  <c r="G406" i="3"/>
  <c r="I406" i="3" l="1"/>
  <c r="W406" i="3" s="1"/>
  <c r="J406" i="3"/>
  <c r="M406" i="3"/>
  <c r="N406" i="3" s="1"/>
  <c r="AC407" i="3"/>
  <c r="Z407" i="3"/>
  <c r="P407" i="3"/>
  <c r="Q407" i="3" s="1"/>
  <c r="R407" i="3" s="1"/>
  <c r="S407" i="3" s="1"/>
  <c r="AD407" i="3"/>
  <c r="AA407" i="3"/>
  <c r="L406" i="3" l="1"/>
  <c r="T407" i="3"/>
  <c r="U406" i="3" l="1"/>
  <c r="D407" i="3" s="1"/>
  <c r="AG407" i="3"/>
  <c r="AH407" i="3"/>
  <c r="Y405" i="3"/>
  <c r="G407" i="3" l="1"/>
  <c r="E407" i="3"/>
  <c r="H407" i="3" s="1"/>
  <c r="F407" i="3" l="1"/>
  <c r="I407" i="3"/>
  <c r="J407" i="3"/>
  <c r="M407" i="3"/>
  <c r="N407" i="3" s="1"/>
  <c r="K407" i="3"/>
  <c r="AE407" i="3" s="1"/>
  <c r="V407" i="3" l="1"/>
  <c r="W407" i="3" s="1"/>
  <c r="A408" i="3"/>
  <c r="B408" i="3" s="1"/>
  <c r="L407" i="3"/>
  <c r="U407" i="3" l="1"/>
  <c r="Y406" i="3"/>
  <c r="Z408" i="3"/>
  <c r="AC408" i="3"/>
  <c r="AD408" i="3"/>
  <c r="P408" i="3"/>
  <c r="Q408" i="3" s="1"/>
  <c r="R408" i="3" s="1"/>
  <c r="S408" i="3" s="1"/>
  <c r="AA408" i="3"/>
  <c r="T408" i="3" l="1"/>
  <c r="AH408" i="3" s="1"/>
  <c r="E408" i="3" l="1"/>
  <c r="H408" i="3" s="1"/>
  <c r="K408" i="3" s="1"/>
  <c r="AE408" i="3" s="1"/>
  <c r="D408" i="3"/>
  <c r="G408" i="3" s="1"/>
  <c r="AG408" i="3"/>
  <c r="F408" i="3" l="1"/>
  <c r="I408" i="3"/>
  <c r="J408" i="3"/>
  <c r="M408" i="3"/>
  <c r="N408" i="3" s="1"/>
  <c r="V408" i="3"/>
  <c r="A409" i="3"/>
  <c r="B409" i="3" s="1"/>
  <c r="W408" i="3" l="1"/>
  <c r="L408" i="3"/>
  <c r="AA409" i="3"/>
  <c r="AC409" i="3"/>
  <c r="P409" i="3"/>
  <c r="Q409" i="3" s="1"/>
  <c r="R409" i="3" s="1"/>
  <c r="S409" i="3" s="1"/>
  <c r="AD409" i="3"/>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AD410" i="3"/>
  <c r="Z410" i="3"/>
  <c r="I409" i="3"/>
  <c r="W409" i="3" s="1"/>
  <c r="J409" i="3"/>
  <c r="M409" i="3"/>
  <c r="N409" i="3" s="1"/>
  <c r="T410" i="3" l="1"/>
  <c r="L409" i="3"/>
  <c r="AG410" i="3" l="1"/>
  <c r="U409" i="3"/>
  <c r="D410" i="3" s="1"/>
  <c r="AH410" i="3"/>
  <c r="Y408" i="3"/>
  <c r="E410" i="3" l="1"/>
  <c r="H410" i="3" s="1"/>
  <c r="K410" i="3" s="1"/>
  <c r="AE410" i="3" s="1"/>
  <c r="G410" i="3"/>
  <c r="F410" i="3" l="1"/>
  <c r="I410" i="3"/>
  <c r="J410" i="3"/>
  <c r="M410" i="3"/>
  <c r="N410" i="3" s="1"/>
  <c r="V410" i="3"/>
  <c r="A411" i="3"/>
  <c r="B411" i="3" s="1"/>
  <c r="W410" i="3" l="1"/>
  <c r="L410" i="3"/>
  <c r="AC411" i="3"/>
  <c r="P411" i="3"/>
  <c r="Q411" i="3" s="1"/>
  <c r="R411" i="3" s="1"/>
  <c r="S411" i="3" s="1"/>
  <c r="AA411" i="3"/>
  <c r="Z411" i="3"/>
  <c r="AD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AD412" i="3"/>
  <c r="I411" i="3"/>
  <c r="W411" i="3" s="1"/>
  <c r="J411" i="3"/>
  <c r="M411" i="3"/>
  <c r="N411" i="3" s="1"/>
  <c r="T412" i="3" l="1"/>
  <c r="L411" i="3"/>
  <c r="U411" i="3" l="1"/>
  <c r="D412" i="3" s="1"/>
  <c r="AG412" i="3"/>
  <c r="AH412" i="3"/>
  <c r="Y410" i="3"/>
  <c r="G412" i="3" l="1"/>
  <c r="E412" i="3"/>
  <c r="H412" i="3" s="1"/>
  <c r="F412" i="3" l="1"/>
  <c r="I412" i="3"/>
  <c r="J412" i="3"/>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AD425" i="3"/>
  <c r="U424" i="3" l="1"/>
  <c r="Y423" i="3"/>
  <c r="T425" i="3"/>
  <c r="E425" i="3" l="1"/>
  <c r="H425" i="3" s="1"/>
  <c r="K425" i="3" s="1"/>
  <c r="AE425" i="3" s="1"/>
  <c r="D425" i="3"/>
  <c r="G425" i="3" s="1"/>
  <c r="AH425" i="3"/>
  <c r="AG425" i="3"/>
  <c r="F425" i="3" l="1"/>
  <c r="I425" i="3"/>
  <c r="J425" i="3"/>
  <c r="M425" i="3"/>
  <c r="N425" i="3" s="1"/>
  <c r="V425" i="3"/>
  <c r="A426" i="3"/>
  <c r="B426" i="3" s="1"/>
  <c r="L425" i="3" l="1"/>
  <c r="W425" i="3"/>
  <c r="P426" i="3"/>
  <c r="Q426" i="3" s="1"/>
  <c r="R426" i="3" s="1"/>
  <c r="S426" i="3" s="1"/>
  <c r="AA426" i="3"/>
  <c r="AD426" i="3"/>
  <c r="Z426" i="3"/>
  <c r="AC426" i="3"/>
  <c r="U425" i="3" l="1"/>
  <c r="Y424" i="3"/>
  <c r="T426" i="3"/>
  <c r="AH426" i="3" s="1"/>
  <c r="E426" i="3" l="1"/>
  <c r="H426" i="3" s="1"/>
  <c r="D426" i="3"/>
  <c r="AG426" i="3"/>
  <c r="K426" i="3" l="1"/>
  <c r="AE426" i="3" s="1"/>
  <c r="F426" i="3"/>
  <c r="G426" i="3"/>
  <c r="V426" i="3" l="1"/>
  <c r="A427" i="3"/>
  <c r="B427" i="3" s="1"/>
  <c r="I426" i="3"/>
  <c r="J426" i="3"/>
  <c r="M426" i="3"/>
  <c r="N426" i="3" s="1"/>
  <c r="W426" i="3" l="1"/>
  <c r="L426" i="3"/>
  <c r="P427" i="3"/>
  <c r="Q427" i="3" s="1"/>
  <c r="R427" i="3" s="1"/>
  <c r="S427" i="3" s="1"/>
  <c r="AC427" i="3"/>
  <c r="AD427" i="3"/>
  <c r="Z427" i="3"/>
  <c r="AA427" i="3"/>
  <c r="U426" i="3" l="1"/>
  <c r="Y425" i="3"/>
  <c r="T427" i="3"/>
  <c r="AG427" i="3" s="1"/>
  <c r="D427" i="3" l="1"/>
  <c r="G427" i="3" s="1"/>
  <c r="E427" i="3"/>
  <c r="H427" i="3" s="1"/>
  <c r="K427" i="3" s="1"/>
  <c r="AE427" i="3" s="1"/>
  <c r="AH427" i="3"/>
  <c r="F427" i="3" l="1"/>
  <c r="I427" i="3"/>
  <c r="J427" i="3"/>
  <c r="M427" i="3"/>
  <c r="N427" i="3" s="1"/>
  <c r="V427" i="3"/>
  <c r="A428" i="3"/>
  <c r="B428" i="3" s="1"/>
  <c r="W427" i="3" l="1"/>
  <c r="L427" i="3"/>
  <c r="P428" i="3"/>
  <c r="Q428" i="3" s="1"/>
  <c r="R428" i="3" s="1"/>
  <c r="S428" i="3" s="1"/>
  <c r="AC428" i="3"/>
  <c r="Z428" i="3"/>
  <c r="AA428" i="3"/>
  <c r="AD428" i="3"/>
  <c r="U427" i="3" l="1"/>
  <c r="Y426" i="3"/>
  <c r="T428" i="3"/>
  <c r="AG428" i="3" s="1"/>
  <c r="E428" i="3" l="1"/>
  <c r="H428" i="3" s="1"/>
  <c r="AH428" i="3"/>
  <c r="D428" i="3"/>
  <c r="K428" i="3" l="1"/>
  <c r="AE428" i="3" s="1"/>
  <c r="F428" i="3"/>
  <c r="G428" i="3"/>
  <c r="I428" i="3" l="1"/>
  <c r="J428" i="3"/>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AD432" i="3"/>
  <c r="T432" i="3" l="1"/>
  <c r="AH432" i="3" s="1"/>
  <c r="U431" i="3"/>
  <c r="Y430" i="3"/>
  <c r="AG432" i="3" l="1"/>
  <c r="E432" i="3"/>
  <c r="H432" i="3" s="1"/>
  <c r="D432" i="3"/>
  <c r="K432" i="3" l="1"/>
  <c r="AE432" i="3" s="1"/>
  <c r="F432" i="3"/>
  <c r="G432" i="3"/>
  <c r="I432" i="3" l="1"/>
  <c r="J432" i="3"/>
  <c r="M432" i="3"/>
  <c r="N432" i="3" s="1"/>
  <c r="V432" i="3"/>
  <c r="A433" i="3"/>
  <c r="B433" i="3" s="1"/>
  <c r="W432" i="3" l="1"/>
  <c r="L432" i="3"/>
  <c r="P433" i="3"/>
  <c r="Q433" i="3" s="1"/>
  <c r="R433" i="3" s="1"/>
  <c r="S433" i="3" s="1"/>
  <c r="AC433" i="3"/>
  <c r="Z433" i="3"/>
  <c r="AA433" i="3"/>
  <c r="AD433" i="3"/>
  <c r="U432" i="3" l="1"/>
  <c r="Y431" i="3"/>
  <c r="T433" i="3"/>
  <c r="E433" i="3" l="1"/>
  <c r="H433" i="3" s="1"/>
  <c r="K433" i="3" s="1"/>
  <c r="AE433" i="3" s="1"/>
  <c r="D433" i="3"/>
  <c r="AG433" i="3"/>
  <c r="AH433" i="3"/>
  <c r="F433" i="3" l="1"/>
  <c r="G433" i="3"/>
  <c r="M433" i="3" s="1"/>
  <c r="N433" i="3" s="1"/>
  <c r="V433" i="3"/>
  <c r="A434" i="3"/>
  <c r="B434" i="3" s="1"/>
  <c r="I433" i="3" l="1"/>
  <c r="W433" i="3" s="1"/>
  <c r="J433" i="3"/>
  <c r="L433" i="3" s="1"/>
  <c r="P434" i="3"/>
  <c r="Q434" i="3" s="1"/>
  <c r="R434" i="3" s="1"/>
  <c r="S434" i="3" s="1"/>
  <c r="Z434" i="3"/>
  <c r="AA434" i="3"/>
  <c r="AC434" i="3"/>
  <c r="U433" i="3" l="1"/>
  <c r="Y432" i="3"/>
  <c r="T434" i="3"/>
  <c r="AH434" i="3" s="1"/>
  <c r="E434" i="3" l="1"/>
  <c r="H434" i="3" s="1"/>
  <c r="K434" i="3" s="1"/>
  <c r="AE434" i="3" s="1"/>
  <c r="AG434" i="3"/>
  <c r="D434" i="3"/>
  <c r="F434" i="3" l="1"/>
  <c r="G434" i="3"/>
  <c r="M434" i="3" s="1"/>
  <c r="N434" i="3" s="1"/>
  <c r="V434" i="3"/>
  <c r="A435" i="3"/>
  <c r="B435" i="3" s="1"/>
  <c r="I434" i="3" l="1"/>
  <c r="W434" i="3" s="1"/>
  <c r="J434" i="3"/>
  <c r="P435" i="3"/>
  <c r="Q435" i="3" s="1"/>
  <c r="R435" i="3" s="1"/>
  <c r="S435" i="3" s="1"/>
  <c r="AA435" i="3"/>
  <c r="AD435" i="3"/>
  <c r="AC435" i="3"/>
  <c r="Z435" i="3"/>
  <c r="L434" i="3" l="1"/>
  <c r="Y433" i="3" s="1"/>
  <c r="AD434" i="3"/>
  <c r="T435" i="3"/>
  <c r="U434" i="3" l="1"/>
  <c r="E435" i="3" s="1"/>
  <c r="H435" i="3" s="1"/>
  <c r="AG435" i="3"/>
  <c r="AH435" i="3"/>
  <c r="D435" i="3" l="1"/>
  <c r="G435" i="3" s="1"/>
  <c r="I435" i="3" s="1"/>
  <c r="K435" i="3"/>
  <c r="AE435" i="3" s="1"/>
  <c r="J435" i="3" l="1"/>
  <c r="L435" i="3" s="1"/>
  <c r="M435" i="3"/>
  <c r="N435" i="3" s="1"/>
  <c r="F435" i="3"/>
  <c r="V435" i="3"/>
  <c r="W435" i="3" s="1"/>
  <c r="A436" i="3"/>
  <c r="B436" i="3" s="1"/>
  <c r="AC436" i="3" l="1"/>
  <c r="Z436" i="3"/>
  <c r="P436" i="3"/>
  <c r="Q436" i="3" s="1"/>
  <c r="R436" i="3" s="1"/>
  <c r="S436" i="3" s="1"/>
  <c r="AA436" i="3"/>
  <c r="AD436" i="3"/>
  <c r="U435" i="3"/>
  <c r="Y434" i="3"/>
  <c r="T436" i="3" l="1"/>
  <c r="E436" i="3" l="1"/>
  <c r="H436" i="3" s="1"/>
  <c r="D436" i="3"/>
  <c r="AH436" i="3"/>
  <c r="AG436" i="3"/>
  <c r="F436" i="3" l="1"/>
  <c r="G436" i="3"/>
  <c r="K436" i="3"/>
  <c r="AE436" i="3" s="1"/>
  <c r="I436" i="3" l="1"/>
  <c r="J436" i="3"/>
  <c r="M436" i="3"/>
  <c r="N436" i="3" s="1"/>
  <c r="V436" i="3"/>
  <c r="A437" i="3"/>
  <c r="B437" i="3" s="1"/>
  <c r="W436" i="3" l="1"/>
  <c r="L436" i="3"/>
  <c r="AC437" i="3"/>
  <c r="AA437" i="3"/>
  <c r="P437" i="3"/>
  <c r="Q437" i="3" s="1"/>
  <c r="R437" i="3" s="1"/>
  <c r="S437" i="3" s="1"/>
  <c r="AD437" i="3"/>
  <c r="Z437" i="3"/>
  <c r="U436" i="3" l="1"/>
  <c r="Y435" i="3"/>
  <c r="T437" i="3"/>
  <c r="AH437" i="3" s="1"/>
  <c r="D437" i="3" l="1"/>
  <c r="G437" i="3" s="1"/>
  <c r="E437" i="3"/>
  <c r="H437" i="3" s="1"/>
  <c r="K437" i="3" s="1"/>
  <c r="AE437" i="3" s="1"/>
  <c r="AG437" i="3"/>
  <c r="F437" i="3" l="1"/>
  <c r="I437" i="3"/>
  <c r="J437" i="3"/>
  <c r="M437" i="3"/>
  <c r="N437" i="3" s="1"/>
  <c r="V437" i="3"/>
  <c r="A438" i="3"/>
  <c r="B438" i="3" s="1"/>
  <c r="W437" i="3" l="1"/>
  <c r="L437" i="3"/>
  <c r="Z438" i="3"/>
  <c r="P438" i="3"/>
  <c r="Q438" i="3" s="1"/>
  <c r="R438" i="3" s="1"/>
  <c r="S438" i="3" s="1"/>
  <c r="AC438" i="3"/>
  <c r="AD438" i="3"/>
  <c r="AA438" i="3"/>
  <c r="U437" i="3" l="1"/>
  <c r="Y436" i="3"/>
  <c r="T438" i="3"/>
  <c r="E438" i="3" l="1"/>
  <c r="H438" i="3" s="1"/>
  <c r="K438" i="3" s="1"/>
  <c r="AE438" i="3" s="1"/>
  <c r="D438" i="3"/>
  <c r="AH438" i="3"/>
  <c r="AG438" i="3"/>
  <c r="V438" i="3" l="1"/>
  <c r="A439" i="3"/>
  <c r="B439" i="3" s="1"/>
  <c r="F438" i="3"/>
  <c r="G438" i="3"/>
  <c r="I438" i="3" l="1"/>
  <c r="W438" i="3" s="1"/>
  <c r="J438" i="3"/>
  <c r="M438" i="3"/>
  <c r="N438" i="3" s="1"/>
  <c r="Z439" i="3"/>
  <c r="P439" i="3"/>
  <c r="Q439" i="3" s="1"/>
  <c r="R439" i="3" s="1"/>
  <c r="S439" i="3" s="1"/>
  <c r="AD439" i="3"/>
  <c r="AC439" i="3"/>
  <c r="AA439" i="3"/>
  <c r="T439" i="3" l="1"/>
  <c r="L438" i="3"/>
  <c r="AG439" i="3" l="1"/>
  <c r="AH439" i="3"/>
  <c r="U438" i="3"/>
  <c r="E439" i="3" s="1"/>
  <c r="H439" i="3" s="1"/>
  <c r="Y437" i="3"/>
  <c r="D439" i="3" l="1"/>
  <c r="G439" i="3" s="1"/>
  <c r="K439" i="3"/>
  <c r="AE439" i="3" s="1"/>
  <c r="F439" i="3" l="1"/>
  <c r="V439" i="3"/>
  <c r="A440" i="3"/>
  <c r="B440" i="3" s="1"/>
  <c r="I439" i="3"/>
  <c r="J439" i="3"/>
  <c r="M439" i="3"/>
  <c r="N439" i="3" s="1"/>
  <c r="W439" i="3" l="1"/>
  <c r="L439" i="3"/>
  <c r="Z440" i="3"/>
  <c r="AC440" i="3"/>
  <c r="P440" i="3"/>
  <c r="Q440" i="3" s="1"/>
  <c r="R440" i="3" s="1"/>
  <c r="S440" i="3" s="1"/>
  <c r="AA440" i="3"/>
  <c r="AD440" i="3"/>
  <c r="T440" i="3" l="1"/>
  <c r="AH440" i="3" s="1"/>
  <c r="U439" i="3"/>
  <c r="Y438" i="3"/>
  <c r="AG440" i="3" l="1"/>
  <c r="D440" i="3"/>
  <c r="E440" i="3"/>
  <c r="H440" i="3" s="1"/>
  <c r="K440" i="3" l="1"/>
  <c r="AE440" i="3" s="1"/>
  <c r="F440" i="3"/>
  <c r="G440" i="3"/>
  <c r="I440" i="3" l="1"/>
  <c r="J440" i="3"/>
  <c r="M440" i="3"/>
  <c r="N440" i="3" s="1"/>
  <c r="V440" i="3"/>
  <c r="A441" i="3"/>
  <c r="B441" i="3" s="1"/>
  <c r="W440" i="3" l="1"/>
  <c r="L440" i="3"/>
  <c r="P441" i="3"/>
  <c r="Q441" i="3" s="1"/>
  <c r="R441" i="3" s="1"/>
  <c r="S441" i="3" s="1"/>
  <c r="AD441" i="3"/>
  <c r="AC441" i="3"/>
  <c r="Z441" i="3"/>
  <c r="AA441" i="3"/>
  <c r="T441" i="3" l="1"/>
  <c r="AH441" i="3" s="1"/>
  <c r="U440" i="3"/>
  <c r="Y439" i="3"/>
  <c r="E441" i="3" l="1"/>
  <c r="H441" i="3" s="1"/>
  <c r="K441" i="3" s="1"/>
  <c r="AE441" i="3" s="1"/>
  <c r="AG441" i="3"/>
  <c r="D441" i="3"/>
  <c r="V441" i="3" l="1"/>
  <c r="A442" i="3"/>
  <c r="B442" i="3" s="1"/>
  <c r="F441" i="3"/>
  <c r="G441" i="3"/>
  <c r="I441" i="3" l="1"/>
  <c r="W441" i="3" s="1"/>
  <c r="J441" i="3"/>
  <c r="M441" i="3"/>
  <c r="N441" i="3" s="1"/>
  <c r="AC442" i="3"/>
  <c r="AD442" i="3"/>
  <c r="AA442" i="3"/>
  <c r="P442" i="3"/>
  <c r="Q442" i="3" s="1"/>
  <c r="R442" i="3" s="1"/>
  <c r="S442" i="3" s="1"/>
  <c r="Z442" i="3"/>
  <c r="T442" i="3" l="1"/>
  <c r="L441" i="3"/>
  <c r="U441" i="3" l="1"/>
  <c r="D442" i="3" s="1"/>
  <c r="AH442" i="3"/>
  <c r="AG442" i="3"/>
  <c r="Y440" i="3"/>
  <c r="G442" i="3" l="1"/>
  <c r="E442" i="3"/>
  <c r="H442" i="3" s="1"/>
  <c r="I442" i="3" l="1"/>
  <c r="J442" i="3"/>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AD447" i="3"/>
  <c r="U446" i="3"/>
  <c r="Y445" i="3"/>
  <c r="T447" i="3" l="1"/>
  <c r="AG447" i="3" s="1"/>
  <c r="D447" i="3" l="1"/>
  <c r="G447" i="3" s="1"/>
  <c r="AH447" i="3"/>
  <c r="E447" i="3"/>
  <c r="H447" i="3" s="1"/>
  <c r="K447" i="3" s="1"/>
  <c r="AE447" i="3" s="1"/>
  <c r="F447" i="3" l="1"/>
  <c r="I447" i="3"/>
  <c r="J447" i="3"/>
  <c r="M447" i="3"/>
  <c r="N447" i="3" s="1"/>
  <c r="V447" i="3"/>
  <c r="A448" i="3"/>
  <c r="B448" i="3" s="1"/>
  <c r="W447" i="3" l="1"/>
  <c r="L447" i="3"/>
  <c r="AD448" i="3"/>
  <c r="Z448" i="3"/>
  <c r="AA448" i="3"/>
  <c r="P448" i="3"/>
  <c r="Q448" i="3" s="1"/>
  <c r="R448" i="3" s="1"/>
  <c r="S448" i="3" s="1"/>
  <c r="AC448" i="3"/>
  <c r="T448" i="3" l="1"/>
  <c r="AG448" i="3" s="1"/>
  <c r="U447" i="3"/>
  <c r="Y446" i="3"/>
  <c r="D448" i="3" l="1"/>
  <c r="G448" i="3" s="1"/>
  <c r="E448" i="3"/>
  <c r="H448" i="3" s="1"/>
  <c r="AH448" i="3"/>
  <c r="F448" i="3" l="1"/>
  <c r="I448" i="3"/>
  <c r="J448" i="3"/>
  <c r="M448" i="3"/>
  <c r="N448" i="3" s="1"/>
  <c r="K448" i="3"/>
  <c r="AE448" i="3" s="1"/>
  <c r="V448" i="3" l="1"/>
  <c r="W448" i="3" s="1"/>
  <c r="A449" i="3"/>
  <c r="B449" i="3" s="1"/>
  <c r="L448" i="3"/>
  <c r="U448" i="3" l="1"/>
  <c r="Y447" i="3"/>
  <c r="P449" i="3"/>
  <c r="Q449" i="3" s="1"/>
  <c r="R449" i="3" s="1"/>
  <c r="S449" i="3" s="1"/>
  <c r="AD449" i="3"/>
  <c r="AA449" i="3"/>
  <c r="Z449" i="3"/>
  <c r="AC449" i="3"/>
  <c r="T449" i="3" l="1"/>
  <c r="D449" i="3" s="1"/>
  <c r="G449" i="3" l="1"/>
  <c r="AG449" i="3"/>
  <c r="AH449" i="3"/>
  <c r="E449" i="3"/>
  <c r="H449" i="3" s="1"/>
  <c r="K449" i="3" l="1"/>
  <c r="AE449" i="3" s="1"/>
  <c r="F449" i="3"/>
  <c r="I449" i="3"/>
  <c r="J449" i="3"/>
  <c r="M449" i="3"/>
  <c r="N449" i="3" s="1"/>
  <c r="L449" i="3" l="1"/>
  <c r="V449" i="3"/>
  <c r="W449" i="3" s="1"/>
  <c r="A450" i="3"/>
  <c r="B450" i="3" s="1"/>
  <c r="P450" i="3" l="1"/>
  <c r="Q450" i="3" s="1"/>
  <c r="R450" i="3" s="1"/>
  <c r="S450" i="3" s="1"/>
  <c r="AD450" i="3"/>
  <c r="Z450" i="3"/>
  <c r="AC450" i="3"/>
  <c r="AA450" i="3"/>
  <c r="U449" i="3"/>
  <c r="Y448" i="3"/>
  <c r="T450" i="3" l="1"/>
  <c r="D450" i="3" s="1"/>
  <c r="AH450" i="3" l="1"/>
  <c r="G450" i="3"/>
  <c r="E450" i="3"/>
  <c r="H450" i="3" s="1"/>
  <c r="AG450" i="3"/>
  <c r="F450" i="3" l="1"/>
  <c r="I450" i="3"/>
  <c r="J450" i="3"/>
  <c r="M450" i="3"/>
  <c r="N450" i="3" s="1"/>
  <c r="K450" i="3"/>
  <c r="AE450" i="3" s="1"/>
  <c r="V450" i="3" l="1"/>
  <c r="W450" i="3" s="1"/>
  <c r="A451" i="3"/>
  <c r="B451" i="3" s="1"/>
  <c r="L450" i="3"/>
  <c r="U450" i="3" l="1"/>
  <c r="Y449" i="3"/>
  <c r="P451" i="3"/>
  <c r="Q451" i="3" s="1"/>
  <c r="R451" i="3" s="1"/>
  <c r="S451" i="3" s="1"/>
  <c r="Z451" i="3"/>
  <c r="AD451" i="3"/>
  <c r="AA451" i="3"/>
  <c r="AC451" i="3"/>
  <c r="T451" i="3" l="1"/>
  <c r="AG451" i="3" s="1"/>
  <c r="E451" i="3" l="1"/>
  <c r="H451" i="3" s="1"/>
  <c r="K451" i="3" s="1"/>
  <c r="AE451" i="3" s="1"/>
  <c r="AH451" i="3"/>
  <c r="D451" i="3"/>
  <c r="V451" i="3" l="1"/>
  <c r="A452" i="3"/>
  <c r="B452" i="3" s="1"/>
  <c r="F451" i="3"/>
  <c r="G451" i="3"/>
  <c r="I451" i="3" l="1"/>
  <c r="W451" i="3" s="1"/>
  <c r="J451" i="3"/>
  <c r="M451" i="3"/>
  <c r="N451" i="3" s="1"/>
  <c r="AA452" i="3"/>
  <c r="P452" i="3"/>
  <c r="Q452" i="3" s="1"/>
  <c r="R452" i="3" s="1"/>
  <c r="S452" i="3" s="1"/>
  <c r="AC452" i="3"/>
  <c r="Z452" i="3"/>
  <c r="AD452" i="3"/>
  <c r="T452" i="3" l="1"/>
  <c r="L451" i="3"/>
  <c r="U451" i="3" l="1"/>
  <c r="D452" i="3" s="1"/>
  <c r="AH452" i="3"/>
  <c r="AG452" i="3"/>
  <c r="Y450" i="3"/>
  <c r="E452" i="3" l="1"/>
  <c r="H452" i="3" s="1"/>
  <c r="K452" i="3" s="1"/>
  <c r="AE452" i="3" s="1"/>
  <c r="G452" i="3"/>
  <c r="F452" i="3" l="1"/>
  <c r="I452" i="3"/>
  <c r="J452" i="3"/>
  <c r="M452" i="3"/>
  <c r="N452" i="3" s="1"/>
  <c r="V452" i="3"/>
  <c r="A453" i="3"/>
  <c r="B453" i="3" s="1"/>
  <c r="W452" i="3" l="1"/>
  <c r="L452" i="3"/>
  <c r="AA453" i="3"/>
  <c r="P453" i="3"/>
  <c r="Q453" i="3" s="1"/>
  <c r="R453" i="3" s="1"/>
  <c r="S453" i="3" s="1"/>
  <c r="AC453" i="3"/>
  <c r="AD453" i="3"/>
  <c r="Z453" i="3"/>
  <c r="U452" i="3" l="1"/>
  <c r="Y451" i="3"/>
  <c r="T453" i="3"/>
  <c r="AH453" i="3" s="1"/>
  <c r="AG453" i="3" l="1"/>
  <c r="E453" i="3"/>
  <c r="H453" i="3" s="1"/>
  <c r="D453" i="3"/>
  <c r="K453" i="3" l="1"/>
  <c r="AE453" i="3" s="1"/>
  <c r="F453" i="3"/>
  <c r="G453" i="3"/>
  <c r="I453" i="3" l="1"/>
  <c r="J453" i="3"/>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D455" i="3"/>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M455" i="3"/>
  <c r="N455" i="3" s="1"/>
  <c r="V455" i="3"/>
  <c r="A456" i="3"/>
  <c r="B456" i="3" s="1"/>
  <c r="W455" i="3" l="1"/>
  <c r="L455" i="3"/>
  <c r="AC456" i="3"/>
  <c r="P456" i="3"/>
  <c r="Q456" i="3" s="1"/>
  <c r="R456" i="3" s="1"/>
  <c r="S456" i="3" s="1"/>
  <c r="AD456" i="3"/>
  <c r="Z456" i="3"/>
  <c r="AA456" i="3"/>
  <c r="U455" i="3" l="1"/>
  <c r="Y454" i="3"/>
  <c r="T456" i="3"/>
  <c r="AG456" i="3" s="1"/>
  <c r="D456" i="3" l="1"/>
  <c r="G456" i="3" s="1"/>
  <c r="AH456" i="3"/>
  <c r="E456" i="3"/>
  <c r="H456" i="3" s="1"/>
  <c r="I456" i="3" l="1"/>
  <c r="J456" i="3"/>
  <c r="M456" i="3"/>
  <c r="N456" i="3" s="1"/>
  <c r="K456" i="3"/>
  <c r="AE456" i="3" s="1"/>
  <c r="F456" i="3"/>
  <c r="V456" i="3" l="1"/>
  <c r="W456" i="3" s="1"/>
  <c r="A457" i="3"/>
  <c r="B457" i="3" s="1"/>
  <c r="L456" i="3"/>
  <c r="Z457" i="3" l="1"/>
  <c r="AC457" i="3"/>
  <c r="P457" i="3"/>
  <c r="Q457" i="3" s="1"/>
  <c r="R457" i="3" s="1"/>
  <c r="S457" i="3" s="1"/>
  <c r="AD457" i="3"/>
  <c r="AA457" i="3"/>
  <c r="U456" i="3"/>
  <c r="Y455" i="3"/>
  <c r="T457" i="3" l="1"/>
  <c r="D457" i="3" l="1"/>
  <c r="AH457" i="3"/>
  <c r="E457" i="3"/>
  <c r="H457" i="3" s="1"/>
  <c r="AG457" i="3"/>
  <c r="F457" i="3" l="1"/>
  <c r="G457" i="3"/>
  <c r="K457" i="3"/>
  <c r="AE457" i="3" s="1"/>
  <c r="I457" i="3" l="1"/>
  <c r="J457" i="3"/>
  <c r="M457" i="3"/>
  <c r="N457" i="3" s="1"/>
  <c r="V457" i="3"/>
  <c r="A458" i="3"/>
  <c r="B458" i="3" s="1"/>
  <c r="L457" i="3" l="1"/>
  <c r="W457" i="3"/>
  <c r="P458" i="3"/>
  <c r="Q458" i="3" s="1"/>
  <c r="R458" i="3" s="1"/>
  <c r="S458" i="3" s="1"/>
  <c r="AC458" i="3"/>
  <c r="Z458" i="3"/>
  <c r="AD458" i="3"/>
  <c r="AA458" i="3"/>
  <c r="U457" i="3" l="1"/>
  <c r="Y456" i="3"/>
  <c r="T458" i="3"/>
  <c r="AH458" i="3" s="1"/>
  <c r="AG458" i="3" l="1"/>
  <c r="E458" i="3"/>
  <c r="H458" i="3" s="1"/>
  <c r="D458" i="3"/>
  <c r="K458" i="3" l="1"/>
  <c r="AE458" i="3" s="1"/>
  <c r="F458" i="3"/>
  <c r="G458" i="3"/>
  <c r="V458" i="3" l="1"/>
  <c r="A459" i="3"/>
  <c r="B459" i="3" s="1"/>
  <c r="I458" i="3"/>
  <c r="J458" i="3"/>
  <c r="M458" i="3"/>
  <c r="N458" i="3" s="1"/>
  <c r="W458" i="3" l="1"/>
  <c r="L458" i="3"/>
  <c r="Z459" i="3"/>
  <c r="P459" i="3"/>
  <c r="Q459" i="3" s="1"/>
  <c r="R459" i="3" s="1"/>
  <c r="S459" i="3" s="1"/>
  <c r="AA459" i="3"/>
  <c r="AD459" i="3"/>
  <c r="AC459" i="3"/>
  <c r="T459" i="3" l="1"/>
  <c r="AH459" i="3" s="1"/>
  <c r="U458" i="3"/>
  <c r="Y457" i="3"/>
  <c r="AG459" i="3" l="1"/>
  <c r="D459" i="3"/>
  <c r="E459" i="3"/>
  <c r="H459" i="3" s="1"/>
  <c r="K459" i="3" l="1"/>
  <c r="AE459" i="3" s="1"/>
  <c r="F459" i="3"/>
  <c r="G459" i="3"/>
  <c r="I459" i="3" l="1"/>
  <c r="J459" i="3"/>
  <c r="M459" i="3"/>
  <c r="N459" i="3" s="1"/>
  <c r="V459" i="3"/>
  <c r="A460" i="3"/>
  <c r="B460" i="3" s="1"/>
  <c r="W459" i="3" l="1"/>
  <c r="L459" i="3"/>
  <c r="P460" i="3"/>
  <c r="Q460" i="3" s="1"/>
  <c r="R460" i="3" s="1"/>
  <c r="S460" i="3" s="1"/>
  <c r="AD460" i="3"/>
  <c r="Z460" i="3"/>
  <c r="AA460" i="3"/>
  <c r="AC460" i="3"/>
  <c r="U459" i="3" l="1"/>
  <c r="Y458" i="3"/>
  <c r="T460" i="3"/>
  <c r="D460" i="3" l="1"/>
  <c r="G460" i="3" s="1"/>
  <c r="AH460" i="3"/>
  <c r="E460" i="3"/>
  <c r="H460" i="3" s="1"/>
  <c r="AG460" i="3"/>
  <c r="F460" i="3" l="1"/>
  <c r="I460" i="3"/>
  <c r="J460" i="3"/>
  <c r="M460" i="3"/>
  <c r="N460" i="3" s="1"/>
  <c r="K460" i="3"/>
  <c r="AE460" i="3" s="1"/>
  <c r="V460" i="3" l="1"/>
  <c r="W460" i="3" s="1"/>
  <c r="A461" i="3"/>
  <c r="B461" i="3" s="1"/>
  <c r="L460" i="3"/>
  <c r="U460" i="3" l="1"/>
  <c r="Y459" i="3"/>
  <c r="AC461" i="3"/>
  <c r="Z461" i="3"/>
  <c r="P461" i="3"/>
  <c r="Q461" i="3" s="1"/>
  <c r="R461" i="3" s="1"/>
  <c r="S461" i="3" s="1"/>
  <c r="AA461" i="3"/>
  <c r="AD461" i="3"/>
  <c r="T461" i="3" l="1"/>
  <c r="D461" i="3" s="1"/>
  <c r="AG461" i="3" l="1"/>
  <c r="G461" i="3"/>
  <c r="AH461" i="3"/>
  <c r="E461" i="3"/>
  <c r="H461" i="3" s="1"/>
  <c r="F461" i="3" l="1"/>
  <c r="I461" i="3"/>
  <c r="J461" i="3"/>
  <c r="M461" i="3"/>
  <c r="N461" i="3" s="1"/>
  <c r="K461" i="3"/>
  <c r="AE461" i="3" s="1"/>
  <c r="V461" i="3" l="1"/>
  <c r="W461" i="3" s="1"/>
  <c r="A462" i="3"/>
  <c r="B462" i="3" s="1"/>
  <c r="L461" i="3"/>
  <c r="U461" i="3" l="1"/>
  <c r="Y460" i="3"/>
  <c r="Z462" i="3"/>
  <c r="P462" i="3"/>
  <c r="Q462" i="3" s="1"/>
  <c r="R462" i="3" s="1"/>
  <c r="S462" i="3" s="1"/>
  <c r="AD462" i="3"/>
  <c r="AA462" i="3"/>
  <c r="AC462" i="3"/>
  <c r="T462" i="3" l="1"/>
  <c r="E462" i="3" s="1"/>
  <c r="H462" i="3" s="1"/>
  <c r="AG462" i="3" l="1"/>
  <c r="AH462" i="3"/>
  <c r="D462" i="3"/>
  <c r="G462" i="3" s="1"/>
  <c r="K462" i="3"/>
  <c r="AE462" i="3" s="1"/>
  <c r="F462" i="3" l="1"/>
  <c r="V462" i="3"/>
  <c r="A463" i="3"/>
  <c r="B463" i="3" s="1"/>
  <c r="I462" i="3"/>
  <c r="J462" i="3"/>
  <c r="M462" i="3"/>
  <c r="N462" i="3" s="1"/>
  <c r="W462" i="3" l="1"/>
  <c r="L462" i="3"/>
  <c r="P463" i="3"/>
  <c r="Q463" i="3" s="1"/>
  <c r="R463" i="3" s="1"/>
  <c r="S463" i="3" s="1"/>
  <c r="AC463" i="3"/>
  <c r="Z463" i="3"/>
  <c r="AA463" i="3"/>
  <c r="AD463" i="3"/>
  <c r="U462" i="3" l="1"/>
  <c r="Y461" i="3"/>
  <c r="T463" i="3"/>
  <c r="AH463" i="3" s="1"/>
  <c r="AG463" i="3" l="1"/>
  <c r="D463" i="3"/>
  <c r="E463" i="3"/>
  <c r="H463" i="3" s="1"/>
  <c r="F463" i="3" l="1"/>
  <c r="G463" i="3"/>
  <c r="K463" i="3"/>
  <c r="AE463" i="3" s="1"/>
  <c r="V463" i="3" l="1"/>
  <c r="A464" i="3"/>
  <c r="B464" i="3" s="1"/>
  <c r="I463" i="3"/>
  <c r="J463" i="3"/>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AD465" i="3"/>
  <c r="T465" i="3" l="1"/>
  <c r="AH465" i="3" s="1"/>
  <c r="U464" i="3"/>
  <c r="Y463" i="3"/>
  <c r="D465" i="3" l="1"/>
  <c r="G465" i="3" s="1"/>
  <c r="E465" i="3"/>
  <c r="H465" i="3" s="1"/>
  <c r="AG465" i="3"/>
  <c r="F465" i="3" l="1"/>
  <c r="I465" i="3"/>
  <c r="J465" i="3"/>
  <c r="M465" i="3"/>
  <c r="N465" i="3" s="1"/>
  <c r="K465" i="3"/>
  <c r="AE465" i="3" s="1"/>
  <c r="V465" i="3" l="1"/>
  <c r="W465" i="3" s="1"/>
  <c r="A466" i="3"/>
  <c r="B466" i="3" s="1"/>
  <c r="L465" i="3"/>
  <c r="U465" i="3" l="1"/>
  <c r="Y464" i="3"/>
  <c r="AA466" i="3"/>
  <c r="AD466" i="3"/>
  <c r="AC466" i="3"/>
  <c r="Z466" i="3"/>
  <c r="P466" i="3"/>
  <c r="Q466" i="3" s="1"/>
  <c r="R466" i="3" s="1"/>
  <c r="S466" i="3" s="1"/>
  <c r="T466" i="3" l="1"/>
  <c r="AH466" i="3" s="1"/>
  <c r="AG466" i="3" l="1"/>
  <c r="E466" i="3"/>
  <c r="H466" i="3" s="1"/>
  <c r="K466" i="3" s="1"/>
  <c r="AE466" i="3" s="1"/>
  <c r="D466" i="3"/>
  <c r="G466" i="3" s="1"/>
  <c r="F466" i="3" l="1"/>
  <c r="I466" i="3"/>
  <c r="J466" i="3"/>
  <c r="M466" i="3"/>
  <c r="N466" i="3" s="1"/>
  <c r="V466" i="3"/>
  <c r="A467" i="3"/>
  <c r="B467" i="3" s="1"/>
  <c r="W466" i="3" l="1"/>
  <c r="L466" i="3"/>
  <c r="P467" i="3"/>
  <c r="Q467" i="3" s="1"/>
  <c r="R467" i="3" s="1"/>
  <c r="S467" i="3" s="1"/>
  <c r="AA467" i="3"/>
  <c r="Z467" i="3"/>
  <c r="AC467" i="3"/>
  <c r="AD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AD468" i="3"/>
  <c r="I467" i="3"/>
  <c r="W467" i="3" s="1"/>
  <c r="J467" i="3"/>
  <c r="M467" i="3"/>
  <c r="N467" i="3" s="1"/>
  <c r="L467" i="3" l="1"/>
  <c r="T468" i="3"/>
  <c r="U467" i="3" l="1"/>
  <c r="D468" i="3" s="1"/>
  <c r="AH468" i="3"/>
  <c r="AG468" i="3"/>
  <c r="Y466" i="3"/>
  <c r="E468" i="3" l="1"/>
  <c r="H468" i="3" s="1"/>
  <c r="K468" i="3" s="1"/>
  <c r="AE468" i="3" s="1"/>
  <c r="G468" i="3"/>
  <c r="F468" i="3" l="1"/>
  <c r="I468" i="3"/>
  <c r="J468" i="3"/>
  <c r="M468" i="3"/>
  <c r="N468" i="3" s="1"/>
  <c r="V468" i="3"/>
  <c r="A469" i="3"/>
  <c r="B469" i="3" s="1"/>
  <c r="W468" i="3" l="1"/>
  <c r="L468" i="3"/>
  <c r="AD469" i="3"/>
  <c r="AA469" i="3"/>
  <c r="P469" i="3"/>
  <c r="Q469" i="3" s="1"/>
  <c r="R469" i="3" s="1"/>
  <c r="S469" i="3" s="1"/>
  <c r="Z469" i="3"/>
  <c r="AC469" i="3"/>
  <c r="U468" i="3" l="1"/>
  <c r="Y467" i="3"/>
  <c r="T469" i="3"/>
  <c r="AG469" i="3" s="1"/>
  <c r="D469" i="3" l="1"/>
  <c r="G469" i="3" s="1"/>
  <c r="AH469" i="3"/>
  <c r="E469" i="3"/>
  <c r="H469" i="3" s="1"/>
  <c r="K469" i="3" s="1"/>
  <c r="AE469" i="3" s="1"/>
  <c r="F469" i="3" l="1"/>
  <c r="I469" i="3"/>
  <c r="J469" i="3"/>
  <c r="M469" i="3"/>
  <c r="N469" i="3" s="1"/>
  <c r="V469" i="3"/>
  <c r="A470" i="3"/>
  <c r="B470" i="3" s="1"/>
  <c r="W469" i="3" l="1"/>
  <c r="L469" i="3"/>
  <c r="AC470" i="3"/>
  <c r="P470" i="3"/>
  <c r="Q470" i="3" s="1"/>
  <c r="R470" i="3" s="1"/>
  <c r="S470" i="3" s="1"/>
  <c r="AA470" i="3"/>
  <c r="Z470" i="3"/>
  <c r="AD470" i="3"/>
  <c r="U469" i="3" l="1"/>
  <c r="Y468" i="3"/>
  <c r="T470" i="3"/>
  <c r="D470" i="3" l="1"/>
  <c r="G470" i="3" s="1"/>
  <c r="AH470" i="3"/>
  <c r="AG470" i="3"/>
  <c r="E470" i="3"/>
  <c r="H470" i="3" s="1"/>
  <c r="K470" i="3" l="1"/>
  <c r="AE470" i="3" s="1"/>
  <c r="F470" i="3"/>
  <c r="I470" i="3"/>
  <c r="J470" i="3"/>
  <c r="M470" i="3"/>
  <c r="N470" i="3" s="1"/>
  <c r="V470" i="3" l="1"/>
  <c r="W470" i="3" s="1"/>
  <c r="A471" i="3"/>
  <c r="B471" i="3" s="1"/>
  <c r="L470" i="3"/>
  <c r="U470" i="3" l="1"/>
  <c r="Y469" i="3"/>
  <c r="Z471" i="3"/>
  <c r="AA471" i="3"/>
  <c r="AD471" i="3"/>
  <c r="AC471" i="3"/>
  <c r="P471" i="3"/>
  <c r="Q471" i="3" s="1"/>
  <c r="R471" i="3" s="1"/>
  <c r="S471" i="3" s="1"/>
  <c r="T471" i="3" l="1"/>
  <c r="AH471" i="3" s="1"/>
  <c r="AG471" i="3" l="1"/>
  <c r="E471" i="3"/>
  <c r="H471" i="3" s="1"/>
  <c r="D471" i="3"/>
  <c r="F471" i="3" l="1"/>
  <c r="G471" i="3"/>
  <c r="K471" i="3"/>
  <c r="AE471" i="3" s="1"/>
  <c r="V471" i="3" l="1"/>
  <c r="A472" i="3"/>
  <c r="B472" i="3" s="1"/>
  <c r="I471" i="3"/>
  <c r="J471" i="3"/>
  <c r="M471" i="3"/>
  <c r="N471" i="3" s="1"/>
  <c r="W471" i="3" l="1"/>
  <c r="L471" i="3"/>
  <c r="Z472" i="3"/>
  <c r="AA472" i="3"/>
  <c r="P472" i="3"/>
  <c r="Q472" i="3" s="1"/>
  <c r="R472" i="3" s="1"/>
  <c r="S472" i="3" s="1"/>
  <c r="AD472" i="3"/>
  <c r="AC472" i="3"/>
  <c r="U471" i="3" l="1"/>
  <c r="Y470" i="3"/>
  <c r="T472" i="3"/>
  <c r="E472" i="3" l="1"/>
  <c r="H472" i="3" s="1"/>
  <c r="K472" i="3" s="1"/>
  <c r="AE472" i="3" s="1"/>
  <c r="AG472" i="3"/>
  <c r="AH472" i="3"/>
  <c r="D472" i="3"/>
  <c r="V472" i="3" l="1"/>
  <c r="A473" i="3"/>
  <c r="B473" i="3" s="1"/>
  <c r="F472" i="3"/>
  <c r="G472" i="3"/>
  <c r="I472" i="3" l="1"/>
  <c r="W472" i="3" s="1"/>
  <c r="J472" i="3"/>
  <c r="M472" i="3"/>
  <c r="N472" i="3" s="1"/>
  <c r="AC473" i="3"/>
  <c r="P473" i="3"/>
  <c r="Q473" i="3" s="1"/>
  <c r="R473" i="3" s="1"/>
  <c r="S473" i="3" s="1"/>
  <c r="AD473" i="3"/>
  <c r="Z473" i="3"/>
  <c r="AA473" i="3"/>
  <c r="L472" i="3" l="1"/>
  <c r="T473" i="3"/>
  <c r="U472" i="3" l="1"/>
  <c r="D473" i="3" s="1"/>
  <c r="AH473" i="3"/>
  <c r="AG473" i="3"/>
  <c r="Y471" i="3"/>
  <c r="G473" i="3" l="1"/>
  <c r="E473" i="3"/>
  <c r="H473" i="3" s="1"/>
  <c r="F473" i="3" l="1"/>
  <c r="I473" i="3"/>
  <c r="J473" i="3"/>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D477" i="3"/>
  <c r="AC477" i="3"/>
  <c r="Z477" i="3"/>
  <c r="U476" i="3" l="1"/>
  <c r="Y475" i="3"/>
  <c r="T477" i="3"/>
  <c r="D477" i="3" l="1"/>
  <c r="G477" i="3" s="1"/>
  <c r="AG477" i="3"/>
  <c r="E477" i="3"/>
  <c r="H477" i="3" s="1"/>
  <c r="K477" i="3" s="1"/>
  <c r="AE477" i="3" s="1"/>
  <c r="AH477" i="3"/>
  <c r="F477" i="3" l="1"/>
  <c r="V477" i="3"/>
  <c r="A478" i="3"/>
  <c r="B478" i="3" s="1"/>
  <c r="I477" i="3"/>
  <c r="J477" i="3"/>
  <c r="M477" i="3"/>
  <c r="N477" i="3" s="1"/>
  <c r="W477" i="3" l="1"/>
  <c r="L477" i="3"/>
  <c r="AA478" i="3"/>
  <c r="AD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AD482" i="3"/>
  <c r="Z482" i="3"/>
  <c r="T482" i="3" l="1"/>
  <c r="D482" i="3" s="1"/>
  <c r="AG482" i="3" l="1"/>
  <c r="G482" i="3"/>
  <c r="AH482" i="3"/>
  <c r="E482" i="3"/>
  <c r="H482" i="3" s="1"/>
  <c r="F482" i="3" l="1"/>
  <c r="I482" i="3"/>
  <c r="J482" i="3"/>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AD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M487" i="3"/>
  <c r="N487" i="3" s="1"/>
  <c r="AA488" i="3"/>
  <c r="AD488" i="3"/>
  <c r="Z488" i="3"/>
  <c r="P488" i="3"/>
  <c r="Q488" i="3" s="1"/>
  <c r="R488" i="3" s="1"/>
  <c r="S488" i="3" s="1"/>
  <c r="AC488" i="3"/>
  <c r="L487" i="3" l="1"/>
  <c r="T488" i="3"/>
  <c r="U487" i="3" l="1"/>
  <c r="D488" i="3" s="1"/>
  <c r="AG488" i="3"/>
  <c r="AH488" i="3"/>
  <c r="Y486" i="3"/>
  <c r="E488" i="3" l="1"/>
  <c r="H488" i="3" s="1"/>
  <c r="K488" i="3" s="1"/>
  <c r="AE488" i="3" s="1"/>
  <c r="G488" i="3"/>
  <c r="F488" i="3" l="1"/>
  <c r="I488" i="3"/>
  <c r="J488" i="3"/>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AD492" i="3"/>
  <c r="T492" i="3" l="1"/>
  <c r="U491" i="3"/>
  <c r="Y490" i="3"/>
  <c r="D492" i="3" l="1"/>
  <c r="G492" i="3" s="1"/>
  <c r="AH492" i="3"/>
  <c r="AG492" i="3"/>
  <c r="E492" i="3"/>
  <c r="H492" i="3" s="1"/>
  <c r="F492" i="3" l="1"/>
  <c r="I492" i="3"/>
  <c r="J492" i="3"/>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D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M495" i="3"/>
  <c r="N495" i="3" s="1"/>
  <c r="W495" i="3" l="1"/>
  <c r="L495" i="3"/>
  <c r="AD496"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M496" i="3"/>
  <c r="N496" i="3" s="1"/>
  <c r="W496" i="3" l="1"/>
  <c r="L496" i="3"/>
  <c r="P497" i="3"/>
  <c r="Q497" i="3" s="1"/>
  <c r="R497" i="3" s="1"/>
  <c r="S497" i="3" s="1"/>
  <c r="AC497" i="3"/>
  <c r="AA497" i="3"/>
  <c r="AD497" i="3"/>
  <c r="Z497" i="3"/>
  <c r="U496" i="3" l="1"/>
  <c r="Y495" i="3"/>
  <c r="T497" i="3"/>
  <c r="AG497" i="3" s="1"/>
  <c r="E497" i="3" l="1"/>
  <c r="H497" i="3" s="1"/>
  <c r="D497" i="3"/>
  <c r="AH497" i="3"/>
  <c r="F497" i="3" l="1"/>
  <c r="G497" i="3"/>
  <c r="K497" i="3"/>
  <c r="AE497" i="3" s="1"/>
  <c r="I497" i="3" l="1"/>
  <c r="J497" i="3"/>
  <c r="M497" i="3"/>
  <c r="N497" i="3" s="1"/>
  <c r="V497" i="3"/>
  <c r="A498" i="3"/>
  <c r="B498" i="3" s="1"/>
  <c r="W497" i="3" l="1"/>
  <c r="L497" i="3"/>
  <c r="Z498" i="3"/>
  <c r="AC498" i="3"/>
  <c r="AD498" i="3"/>
  <c r="AA498" i="3"/>
  <c r="P498" i="3"/>
  <c r="Q498" i="3" s="1"/>
  <c r="R498" i="3" s="1"/>
  <c r="S498" i="3" s="1"/>
  <c r="U497" i="3" l="1"/>
  <c r="Y496" i="3"/>
  <c r="T498" i="3"/>
  <c r="AH498" i="3" s="1"/>
  <c r="AG498" i="3" l="1"/>
  <c r="D498" i="3"/>
  <c r="E498" i="3"/>
  <c r="H498" i="3" s="1"/>
  <c r="F498" i="3" l="1"/>
  <c r="G498" i="3"/>
  <c r="K498" i="3"/>
  <c r="AE498" i="3" s="1"/>
  <c r="I498" i="3" l="1"/>
  <c r="J498" i="3"/>
  <c r="M498" i="3"/>
  <c r="N498" i="3" s="1"/>
  <c r="V498" i="3"/>
  <c r="A499" i="3"/>
  <c r="B499" i="3" s="1"/>
  <c r="W498" i="3" l="1"/>
  <c r="L498" i="3"/>
  <c r="AC499" i="3"/>
  <c r="P499" i="3"/>
  <c r="Q499" i="3" s="1"/>
  <c r="R499" i="3" s="1"/>
  <c r="S499" i="3" s="1"/>
  <c r="AD499" i="3"/>
  <c r="AA499" i="3"/>
  <c r="Z499" i="3"/>
  <c r="T499" i="3" l="1"/>
  <c r="U498" i="3"/>
  <c r="Y497" i="3"/>
  <c r="D499" i="3" l="1"/>
  <c r="G499" i="3" s="1"/>
  <c r="AH499" i="3"/>
  <c r="E499" i="3"/>
  <c r="H499" i="3" s="1"/>
  <c r="AG499" i="3"/>
  <c r="F499" i="3" l="1"/>
  <c r="I499" i="3"/>
  <c r="J499" i="3"/>
  <c r="M499" i="3"/>
  <c r="N499" i="3" s="1"/>
  <c r="K499" i="3"/>
  <c r="AE499" i="3" s="1"/>
  <c r="V499" i="3" l="1"/>
  <c r="W499" i="3" s="1"/>
  <c r="A500" i="3"/>
  <c r="B500" i="3" s="1"/>
  <c r="L499" i="3"/>
  <c r="U499" i="3" l="1"/>
  <c r="Y498" i="3"/>
  <c r="AD500" i="3"/>
  <c r="AA500" i="3"/>
  <c r="AC500" i="3"/>
  <c r="P500" i="3"/>
  <c r="Q500" i="3" s="1"/>
  <c r="R500" i="3" s="1"/>
  <c r="S500" i="3" s="1"/>
  <c r="Z500" i="3"/>
  <c r="T500" i="3" l="1"/>
  <c r="AH500" i="3" s="1"/>
  <c r="D500" i="3" l="1"/>
  <c r="AG500" i="3"/>
  <c r="E500" i="3"/>
  <c r="H500" i="3" s="1"/>
  <c r="F500" i="3" l="1"/>
  <c r="G500" i="3"/>
  <c r="K500" i="3"/>
  <c r="AE500" i="3" s="1"/>
  <c r="I500" i="3" l="1"/>
  <c r="J500" i="3"/>
  <c r="M500" i="3"/>
  <c r="N500" i="3" s="1"/>
  <c r="V500" i="3"/>
  <c r="A501" i="3"/>
  <c r="B501" i="3" s="1"/>
  <c r="W500" i="3" l="1"/>
  <c r="L500" i="3"/>
  <c r="P501" i="3"/>
  <c r="Q501" i="3" s="1"/>
  <c r="R501" i="3" s="1"/>
  <c r="S501" i="3" s="1"/>
  <c r="AC501" i="3"/>
  <c r="AD501" i="3"/>
  <c r="Z501" i="3"/>
  <c r="AA501" i="3"/>
  <c r="U500" i="3" l="1"/>
  <c r="Y499" i="3"/>
  <c r="T501" i="3"/>
  <c r="D501" i="3" l="1"/>
  <c r="G501" i="3" s="1"/>
  <c r="E501" i="3"/>
  <c r="H501" i="3" s="1"/>
  <c r="K501" i="3" s="1"/>
  <c r="AE501" i="3" s="1"/>
  <c r="AG501" i="3"/>
  <c r="AH501" i="3"/>
  <c r="F501" i="3" l="1"/>
  <c r="I501" i="3"/>
  <c r="J501" i="3"/>
  <c r="M501" i="3"/>
  <c r="N501" i="3" s="1"/>
  <c r="V501" i="3"/>
  <c r="A502" i="3"/>
  <c r="B502" i="3" s="1"/>
  <c r="L501" i="3" l="1"/>
  <c r="W501" i="3"/>
  <c r="Z502" i="3"/>
  <c r="AA502" i="3"/>
  <c r="AC502" i="3"/>
  <c r="AD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M502" i="3"/>
  <c r="N502" i="3" s="1"/>
  <c r="AA503" i="3"/>
  <c r="P503" i="3"/>
  <c r="Q503" i="3" s="1"/>
  <c r="R503" i="3" s="1"/>
  <c r="S503" i="3" s="1"/>
  <c r="AD503" i="3"/>
  <c r="AC503" i="3"/>
  <c r="Z503" i="3"/>
  <c r="T503" i="3" l="1"/>
  <c r="L502" i="3"/>
  <c r="AG503" i="3" l="1"/>
  <c r="AH503" i="3"/>
  <c r="U502" i="3"/>
  <c r="E503" i="3" s="1"/>
  <c r="H503" i="3" s="1"/>
  <c r="Y501" i="3"/>
  <c r="D503" i="3" l="1"/>
  <c r="G503" i="3" s="1"/>
  <c r="K503" i="3"/>
  <c r="AE503" i="3" s="1"/>
  <c r="F503" i="3" l="1"/>
  <c r="V503" i="3"/>
  <c r="A504" i="3"/>
  <c r="B504" i="3" s="1"/>
  <c r="I503" i="3"/>
  <c r="J503" i="3"/>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D505" i="3"/>
  <c r="AA505" i="3"/>
  <c r="L504" i="3" l="1"/>
  <c r="Y503" i="3" s="1"/>
  <c r="AD504" i="3"/>
  <c r="T505" i="3"/>
  <c r="AH505" i="3" l="1"/>
  <c r="U504" i="3"/>
  <c r="D505" i="3" s="1"/>
  <c r="G505" i="3" s="1"/>
  <c r="AG505" i="3"/>
  <c r="E505" i="3" l="1"/>
  <c r="H505" i="3" s="1"/>
  <c r="K505" i="3" s="1"/>
  <c r="AE505" i="3" s="1"/>
  <c r="J505" i="3"/>
  <c r="I505" i="3" l="1"/>
  <c r="F505" i="3"/>
  <c r="V505" i="3"/>
  <c r="M505" i="3"/>
  <c r="N505" i="3" s="1"/>
  <c r="A506" i="3"/>
  <c r="B506" i="3" s="1"/>
  <c r="P506" i="3" s="1"/>
  <c r="Q506" i="3" s="1"/>
  <c r="R506" i="3" s="1"/>
  <c r="S506" i="3" s="1"/>
  <c r="L505" i="3"/>
  <c r="W505" i="3" l="1"/>
  <c r="AA506" i="3"/>
  <c r="AD506" i="3"/>
  <c r="AC506" i="3"/>
  <c r="Z506" i="3"/>
  <c r="U505" i="3"/>
  <c r="Y504" i="3"/>
  <c r="T506" i="3"/>
  <c r="AG506" i="3" l="1"/>
  <c r="D506" i="3"/>
  <c r="G506" i="3" s="1"/>
  <c r="AH506" i="3"/>
  <c r="E506" i="3"/>
  <c r="H506" i="3" s="1"/>
  <c r="K506" i="3" s="1"/>
  <c r="AE506" i="3" s="1"/>
  <c r="F506" i="3" l="1"/>
  <c r="I506" i="3"/>
  <c r="J506" i="3"/>
  <c r="M506" i="3"/>
  <c r="N506" i="3" s="1"/>
  <c r="V506" i="3"/>
  <c r="A507" i="3"/>
  <c r="B507" i="3" s="1"/>
  <c r="W506" i="3" l="1"/>
  <c r="L506" i="3"/>
  <c r="AD507" i="3"/>
  <c r="AC507" i="3"/>
  <c r="P507" i="3"/>
  <c r="Q507" i="3" s="1"/>
  <c r="R507" i="3" s="1"/>
  <c r="S507" i="3" s="1"/>
  <c r="AA507" i="3"/>
  <c r="Z507" i="3"/>
  <c r="U506" i="3" l="1"/>
  <c r="Y505" i="3"/>
  <c r="T507" i="3"/>
  <c r="AH507" i="3" s="1"/>
  <c r="AG507" i="3" l="1"/>
  <c r="E507" i="3"/>
  <c r="H507" i="3" s="1"/>
  <c r="D507" i="3"/>
  <c r="K507" i="3" l="1"/>
  <c r="AE507" i="3" s="1"/>
  <c r="F507" i="3"/>
  <c r="G507" i="3"/>
  <c r="I507" i="3" l="1"/>
  <c r="J507" i="3"/>
  <c r="M507" i="3"/>
  <c r="N507" i="3" s="1"/>
  <c r="V507" i="3"/>
  <c r="A508" i="3"/>
  <c r="B508" i="3" s="1"/>
  <c r="W507" i="3" l="1"/>
  <c r="L507" i="3"/>
  <c r="P508" i="3"/>
  <c r="Q508" i="3" s="1"/>
  <c r="R508" i="3" s="1"/>
  <c r="S508" i="3" s="1"/>
  <c r="AD508" i="3"/>
  <c r="AA508" i="3"/>
  <c r="Z508" i="3"/>
  <c r="AC508" i="3"/>
  <c r="U507" i="3" l="1"/>
  <c r="Y506" i="3"/>
  <c r="T508" i="3"/>
  <c r="E508" i="3" l="1"/>
  <c r="H508" i="3" s="1"/>
  <c r="K508" i="3" s="1"/>
  <c r="AE508" i="3" s="1"/>
  <c r="AH508" i="3"/>
  <c r="D508" i="3"/>
  <c r="AG508" i="3"/>
  <c r="F508" i="3" l="1"/>
  <c r="G508" i="3"/>
  <c r="V508" i="3"/>
  <c r="A509" i="3"/>
  <c r="B509" i="3" s="1"/>
  <c r="AD509" i="3" l="1"/>
  <c r="AC509" i="3"/>
  <c r="Z509" i="3"/>
  <c r="AA509" i="3"/>
  <c r="P509" i="3"/>
  <c r="Q509" i="3" s="1"/>
  <c r="R509" i="3" s="1"/>
  <c r="S509" i="3" s="1"/>
  <c r="I508" i="3"/>
  <c r="W508" i="3" s="1"/>
  <c r="J508" i="3"/>
  <c r="M508" i="3"/>
  <c r="N508" i="3" s="1"/>
  <c r="L508" i="3" l="1"/>
  <c r="T509" i="3"/>
  <c r="AG509" i="3" l="1"/>
  <c r="AH509" i="3"/>
  <c r="U508" i="3"/>
  <c r="D509" i="3" s="1"/>
  <c r="Y507" i="3"/>
  <c r="G509" i="3" l="1"/>
  <c r="E509" i="3"/>
  <c r="H509" i="3" s="1"/>
  <c r="F509" i="3" l="1"/>
  <c r="I509" i="3"/>
  <c r="J509" i="3"/>
  <c r="M509" i="3"/>
  <c r="N509" i="3" s="1"/>
  <c r="K509" i="3"/>
  <c r="AE509" i="3" s="1"/>
  <c r="V509" i="3" l="1"/>
  <c r="W509" i="3" s="1"/>
  <c r="A510" i="3"/>
  <c r="B510" i="3" s="1"/>
  <c r="L509" i="3"/>
  <c r="U509" i="3" l="1"/>
  <c r="Y508" i="3"/>
  <c r="AC510" i="3"/>
  <c r="Z510" i="3"/>
  <c r="AA510" i="3"/>
  <c r="AD510" i="3"/>
  <c r="P510" i="3"/>
  <c r="Q510" i="3" s="1"/>
  <c r="R510" i="3" s="1"/>
  <c r="S510" i="3" s="1"/>
  <c r="T510" i="3" l="1"/>
  <c r="AH510" i="3" l="1"/>
  <c r="E510" i="3"/>
  <c r="H510" i="3" s="1"/>
  <c r="D510" i="3"/>
  <c r="AG510" i="3"/>
  <c r="F510" i="3" l="1"/>
  <c r="G510" i="3"/>
  <c r="K510" i="3"/>
  <c r="AE510" i="3" s="1"/>
  <c r="V510" i="3" l="1"/>
  <c r="A511" i="3"/>
  <c r="B511" i="3" s="1"/>
  <c r="I510" i="3"/>
  <c r="J510" i="3"/>
  <c r="M510" i="3"/>
  <c r="N510" i="3" s="1"/>
  <c r="L510" i="3" l="1"/>
  <c r="AA511" i="3"/>
  <c r="AC511" i="3"/>
  <c r="P511" i="3"/>
  <c r="Q511" i="3" s="1"/>
  <c r="R511" i="3" s="1"/>
  <c r="S511" i="3" s="1"/>
  <c r="Z511" i="3"/>
  <c r="AD511" i="3"/>
  <c r="W510" i="3"/>
  <c r="U510" i="3" l="1"/>
  <c r="Y509" i="3"/>
  <c r="T511" i="3"/>
  <c r="AG511" i="3" s="1"/>
  <c r="AH511" i="3" l="1"/>
  <c r="D511" i="3"/>
  <c r="E511" i="3"/>
  <c r="H511" i="3" s="1"/>
  <c r="F511" i="3" l="1"/>
  <c r="G511" i="3"/>
  <c r="K511" i="3"/>
  <c r="AE511" i="3" s="1"/>
  <c r="V511" i="3" l="1"/>
  <c r="A512" i="3"/>
  <c r="B512" i="3" s="1"/>
  <c r="I511" i="3"/>
  <c r="J511" i="3"/>
  <c r="M511" i="3"/>
  <c r="N511" i="3" s="1"/>
  <c r="W511" i="3" l="1"/>
  <c r="L511" i="3"/>
  <c r="AC512" i="3"/>
  <c r="Z512" i="3"/>
  <c r="AA512" i="3"/>
  <c r="P512" i="3"/>
  <c r="Q512" i="3" s="1"/>
  <c r="R512" i="3" s="1"/>
  <c r="S512" i="3" s="1"/>
  <c r="AD512" i="3"/>
  <c r="T512" i="3" l="1"/>
  <c r="U511" i="3"/>
  <c r="Y510" i="3"/>
  <c r="D512" i="3" l="1"/>
  <c r="G512" i="3" s="1"/>
  <c r="AH512" i="3"/>
  <c r="E512" i="3"/>
  <c r="H512" i="3" s="1"/>
  <c r="K512" i="3" s="1"/>
  <c r="AE512" i="3" s="1"/>
  <c r="AG512" i="3"/>
  <c r="F512" i="3" l="1"/>
  <c r="I512" i="3"/>
  <c r="J512" i="3"/>
  <c r="M512" i="3"/>
  <c r="N512" i="3" s="1"/>
  <c r="V512" i="3"/>
  <c r="A513" i="3"/>
  <c r="B513" i="3" s="1"/>
  <c r="W512" i="3" l="1"/>
  <c r="L512" i="3"/>
  <c r="AA513" i="3"/>
  <c r="P513" i="3"/>
  <c r="Q513" i="3" s="1"/>
  <c r="R513" i="3" s="1"/>
  <c r="S513" i="3" s="1"/>
  <c r="AC513" i="3"/>
  <c r="AD513" i="3"/>
  <c r="Z513" i="3"/>
  <c r="T513" i="3" l="1"/>
  <c r="AG513" i="3" s="1"/>
  <c r="U512" i="3"/>
  <c r="Y511" i="3"/>
  <c r="AH513" i="3" l="1"/>
  <c r="E513" i="3"/>
  <c r="H513" i="3" s="1"/>
  <c r="D513" i="3"/>
  <c r="F513" i="3" l="1"/>
  <c r="G513" i="3"/>
  <c r="K513" i="3"/>
  <c r="AE513" i="3" s="1"/>
  <c r="V513" i="3" l="1"/>
  <c r="A514" i="3"/>
  <c r="B514" i="3" s="1"/>
  <c r="I513" i="3"/>
  <c r="J513" i="3"/>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AD515" i="3"/>
  <c r="P515" i="3"/>
  <c r="Q515" i="3" s="1"/>
  <c r="R515" i="3" s="1"/>
  <c r="S515" i="3" s="1"/>
  <c r="AC515" i="3"/>
  <c r="Z515" i="3"/>
  <c r="AA515" i="3"/>
  <c r="U514" i="3" l="1"/>
  <c r="Y513" i="3"/>
  <c r="T515" i="3"/>
  <c r="D515" i="3" l="1"/>
  <c r="G515" i="3" s="1"/>
  <c r="AG515" i="3"/>
  <c r="AH515" i="3"/>
  <c r="E515" i="3"/>
  <c r="H515" i="3" s="1"/>
  <c r="K515" i="3" l="1"/>
  <c r="AE515" i="3" s="1"/>
  <c r="I515" i="3"/>
  <c r="J515" i="3"/>
  <c r="M515" i="3"/>
  <c r="N515" i="3" s="1"/>
  <c r="F515" i="3"/>
  <c r="L515" i="3" l="1"/>
  <c r="V515" i="3"/>
  <c r="W515" i="3" s="1"/>
  <c r="A516" i="3"/>
  <c r="B516" i="3" s="1"/>
  <c r="U515" i="3" l="1"/>
  <c r="Y514" i="3"/>
  <c r="AA516" i="3"/>
  <c r="Z516" i="3"/>
  <c r="AC516" i="3"/>
  <c r="P516" i="3"/>
  <c r="Q516" i="3" s="1"/>
  <c r="R516" i="3" s="1"/>
  <c r="S516" i="3" s="1"/>
  <c r="AD516" i="3"/>
  <c r="T516" i="3" l="1"/>
  <c r="AG516" i="3" s="1"/>
  <c r="D516" i="3" l="1"/>
  <c r="AH516" i="3"/>
  <c r="E516" i="3"/>
  <c r="H516" i="3" s="1"/>
  <c r="F516" i="3" l="1"/>
  <c r="G516" i="3"/>
  <c r="K516" i="3"/>
  <c r="AE516" i="3" s="1"/>
  <c r="I516" i="3" l="1"/>
  <c r="J516" i="3"/>
  <c r="M516" i="3"/>
  <c r="N516" i="3" s="1"/>
  <c r="V516" i="3"/>
  <c r="A517" i="3"/>
  <c r="B517" i="3" s="1"/>
  <c r="W516" i="3" l="1"/>
  <c r="L516" i="3"/>
  <c r="AD517" i="3"/>
  <c r="AC517" i="3"/>
  <c r="P517" i="3"/>
  <c r="Q517" i="3" s="1"/>
  <c r="R517" i="3" s="1"/>
  <c r="S517" i="3" s="1"/>
  <c r="AA517" i="3"/>
  <c r="Z517" i="3"/>
  <c r="U516" i="3" l="1"/>
  <c r="Y515" i="3"/>
  <c r="T517" i="3"/>
  <c r="AG517" i="3" s="1"/>
  <c r="D517" i="3" l="1"/>
  <c r="G517" i="3" s="1"/>
  <c r="AH517" i="3"/>
  <c r="E517" i="3"/>
  <c r="H517" i="3" s="1"/>
  <c r="K517" i="3" s="1"/>
  <c r="AE517" i="3" s="1"/>
  <c r="F517" i="3" l="1"/>
  <c r="I517" i="3"/>
  <c r="J517" i="3"/>
  <c r="M517" i="3"/>
  <c r="N517" i="3" s="1"/>
  <c r="V517" i="3"/>
  <c r="A518" i="3"/>
  <c r="B518" i="3" s="1"/>
  <c r="W517" i="3" l="1"/>
  <c r="L517" i="3"/>
  <c r="AD518" i="3"/>
  <c r="AA518" i="3"/>
  <c r="AC518" i="3"/>
  <c r="Z518" i="3"/>
  <c r="P518" i="3"/>
  <c r="Q518" i="3" s="1"/>
  <c r="R518" i="3" s="1"/>
  <c r="S518" i="3" s="1"/>
  <c r="U517" i="3" l="1"/>
  <c r="Y516" i="3"/>
  <c r="T518" i="3"/>
  <c r="D518" i="3" l="1"/>
  <c r="G518" i="3" s="1"/>
  <c r="E518" i="3"/>
  <c r="H518" i="3" s="1"/>
  <c r="AH518" i="3"/>
  <c r="AG518" i="3"/>
  <c r="F518" i="3" l="1"/>
  <c r="I518" i="3"/>
  <c r="J518" i="3"/>
  <c r="M518" i="3"/>
  <c r="N518" i="3" s="1"/>
  <c r="K518" i="3"/>
  <c r="AE518" i="3" s="1"/>
  <c r="V518" i="3" l="1"/>
  <c r="W518" i="3" s="1"/>
  <c r="A519" i="3"/>
  <c r="B519" i="3" s="1"/>
  <c r="L518" i="3"/>
  <c r="U518" i="3" l="1"/>
  <c r="Y517" i="3"/>
  <c r="AD519" i="3"/>
  <c r="AA519" i="3"/>
  <c r="Z519" i="3"/>
  <c r="AC519" i="3"/>
  <c r="P519" i="3"/>
  <c r="Q519" i="3" s="1"/>
  <c r="R519" i="3" s="1"/>
  <c r="S519" i="3" s="1"/>
  <c r="T519" i="3" l="1"/>
  <c r="D519" i="3" s="1"/>
  <c r="AG519" i="3" l="1"/>
  <c r="G519" i="3"/>
  <c r="AH519" i="3"/>
  <c r="E519" i="3"/>
  <c r="H519" i="3" s="1"/>
  <c r="F519" i="3" l="1"/>
  <c r="I519" i="3"/>
  <c r="J519" i="3"/>
  <c r="M519" i="3"/>
  <c r="N519" i="3" s="1"/>
  <c r="K519" i="3"/>
  <c r="AE519" i="3" s="1"/>
  <c r="V519" i="3" l="1"/>
  <c r="W519" i="3" s="1"/>
  <c r="A520" i="3"/>
  <c r="B520" i="3" s="1"/>
  <c r="L519" i="3"/>
  <c r="U519" i="3" l="1"/>
  <c r="Y518" i="3"/>
  <c r="AA520" i="3"/>
  <c r="AC520" i="3"/>
  <c r="Z520" i="3"/>
  <c r="AD520" i="3"/>
  <c r="P520" i="3"/>
  <c r="Q520" i="3" s="1"/>
  <c r="R520" i="3" s="1"/>
  <c r="S520" i="3" s="1"/>
  <c r="T520" i="3" l="1"/>
  <c r="D520" i="3" s="1"/>
  <c r="AG520" i="3" l="1"/>
  <c r="E520" i="3"/>
  <c r="H520" i="3" s="1"/>
  <c r="K520" i="3" s="1"/>
  <c r="AE520" i="3" s="1"/>
  <c r="AH520" i="3"/>
  <c r="G520" i="3"/>
  <c r="F520" i="3" l="1"/>
  <c r="I520" i="3"/>
  <c r="J520" i="3"/>
  <c r="M520" i="3"/>
  <c r="N520" i="3" s="1"/>
  <c r="V520" i="3"/>
  <c r="A521" i="3"/>
  <c r="B521" i="3" s="1"/>
  <c r="W520" i="3" l="1"/>
  <c r="L520" i="3"/>
  <c r="P521" i="3"/>
  <c r="Q521" i="3" s="1"/>
  <c r="R521" i="3" s="1"/>
  <c r="S521" i="3" s="1"/>
  <c r="AC521" i="3"/>
  <c r="AA521" i="3"/>
  <c r="AD521" i="3"/>
  <c r="Z521" i="3"/>
  <c r="U520" i="3" l="1"/>
  <c r="Y519" i="3"/>
  <c r="T521" i="3"/>
  <c r="AH521" i="3" s="1"/>
  <c r="AG521" i="3" l="1"/>
  <c r="D521" i="3"/>
  <c r="E521" i="3"/>
  <c r="H521" i="3" s="1"/>
  <c r="K521" i="3" s="1"/>
  <c r="AE521" i="3" s="1"/>
  <c r="F521" i="3" l="1"/>
  <c r="G521" i="3"/>
  <c r="I521" i="3" s="1"/>
  <c r="V521" i="3"/>
  <c r="A522" i="3"/>
  <c r="B522" i="3" s="1"/>
  <c r="M521" i="3" l="1"/>
  <c r="N521" i="3" s="1"/>
  <c r="J521" i="3"/>
  <c r="L521" i="3" s="1"/>
  <c r="W521" i="3"/>
  <c r="AC522" i="3"/>
  <c r="P522" i="3"/>
  <c r="Q522" i="3" s="1"/>
  <c r="R522" i="3" s="1"/>
  <c r="S522" i="3" s="1"/>
  <c r="AA522" i="3"/>
  <c r="AD522" i="3"/>
  <c r="Z522" i="3"/>
  <c r="U521" i="3" l="1"/>
  <c r="Y520" i="3"/>
  <c r="T522" i="3"/>
  <c r="AG522" i="3" s="1"/>
  <c r="AH522" i="3" l="1"/>
  <c r="E522" i="3"/>
  <c r="H522" i="3" s="1"/>
  <c r="D522" i="3"/>
  <c r="K522" i="3" l="1"/>
  <c r="AE522" i="3" s="1"/>
  <c r="F522" i="3"/>
  <c r="G522" i="3"/>
  <c r="I522" i="3" l="1"/>
  <c r="J522" i="3"/>
  <c r="M522" i="3"/>
  <c r="N522" i="3" s="1"/>
  <c r="V522" i="3"/>
  <c r="A523" i="3"/>
  <c r="B523" i="3" s="1"/>
  <c r="W522" i="3" l="1"/>
  <c r="L522" i="3"/>
  <c r="AC523" i="3"/>
  <c r="Z523" i="3"/>
  <c r="AD523" i="3"/>
  <c r="AA523" i="3"/>
  <c r="P523" i="3"/>
  <c r="Q523" i="3" s="1"/>
  <c r="R523" i="3" s="1"/>
  <c r="S523" i="3" s="1"/>
  <c r="U522" i="3" l="1"/>
  <c r="Y521" i="3"/>
  <c r="T523" i="3"/>
  <c r="AG523" i="3" s="1"/>
  <c r="AH523" i="3" l="1"/>
  <c r="D523" i="3"/>
  <c r="G523" i="3" s="1"/>
  <c r="E523" i="3"/>
  <c r="H523" i="3" s="1"/>
  <c r="F523" i="3" l="1"/>
  <c r="I523" i="3"/>
  <c r="J523" i="3"/>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AD527" i="3"/>
  <c r="Z527" i="3"/>
  <c r="AC527" i="3"/>
  <c r="P527" i="3"/>
  <c r="Q527" i="3" s="1"/>
  <c r="R527" i="3" s="1"/>
  <c r="S527" i="3" s="1"/>
  <c r="AA527" i="3"/>
  <c r="U526" i="3" l="1"/>
  <c r="Y525" i="3"/>
  <c r="T527" i="3"/>
  <c r="D527" i="3" l="1"/>
  <c r="G527" i="3" s="1"/>
  <c r="E527" i="3"/>
  <c r="H527" i="3" s="1"/>
  <c r="AG527" i="3"/>
  <c r="AH527" i="3"/>
  <c r="F527" i="3" l="1"/>
  <c r="I527" i="3"/>
  <c r="J527" i="3"/>
  <c r="M527" i="3"/>
  <c r="N527" i="3" s="1"/>
  <c r="K527" i="3"/>
  <c r="AE527" i="3" s="1"/>
  <c r="V527" i="3" l="1"/>
  <c r="W527" i="3" s="1"/>
  <c r="A528" i="3"/>
  <c r="B528" i="3" s="1"/>
  <c r="L527" i="3"/>
  <c r="U527" i="3" l="1"/>
  <c r="Y526" i="3"/>
  <c r="Z528" i="3"/>
  <c r="P528" i="3"/>
  <c r="Q528" i="3" s="1"/>
  <c r="R528" i="3" s="1"/>
  <c r="S528" i="3" s="1"/>
  <c r="AC528" i="3"/>
  <c r="AD528" i="3"/>
  <c r="AA528" i="3"/>
  <c r="T528" i="3" l="1"/>
  <c r="AH528" i="3" s="1"/>
  <c r="D528" i="3" l="1"/>
  <c r="E528" i="3"/>
  <c r="H528" i="3" s="1"/>
  <c r="K528" i="3" s="1"/>
  <c r="AE528" i="3" s="1"/>
  <c r="AG528" i="3"/>
  <c r="F528" i="3" l="1"/>
  <c r="G528" i="3"/>
  <c r="M528" i="3" s="1"/>
  <c r="N528" i="3" s="1"/>
  <c r="V528" i="3"/>
  <c r="A529" i="3"/>
  <c r="B529" i="3" s="1"/>
  <c r="I528" i="3" l="1"/>
  <c r="W528" i="3" s="1"/>
  <c r="J528" i="3"/>
  <c r="L528" i="3" s="1"/>
  <c r="Z529" i="3"/>
  <c r="AC529" i="3"/>
  <c r="AD529" i="3"/>
  <c r="P529" i="3"/>
  <c r="Q529" i="3" s="1"/>
  <c r="R529" i="3" s="1"/>
  <c r="S529" i="3" s="1"/>
  <c r="AA529" i="3"/>
  <c r="U528" i="3" l="1"/>
  <c r="Y527" i="3"/>
  <c r="T529" i="3"/>
  <c r="AG529" i="3" s="1"/>
  <c r="D529" i="3" l="1"/>
  <c r="G529" i="3" s="1"/>
  <c r="AH529" i="3"/>
  <c r="E529" i="3"/>
  <c r="H529" i="3" s="1"/>
  <c r="K529" i="3" s="1"/>
  <c r="AE529" i="3" s="1"/>
  <c r="F529" i="3" l="1"/>
  <c r="I529" i="3"/>
  <c r="J529" i="3"/>
  <c r="M529" i="3"/>
  <c r="N529" i="3" s="1"/>
  <c r="V529" i="3"/>
  <c r="A530" i="3"/>
  <c r="B530" i="3" s="1"/>
  <c r="W529" i="3" l="1"/>
  <c r="L529" i="3"/>
  <c r="Z530" i="3"/>
  <c r="AD530" i="3"/>
  <c r="P530" i="3"/>
  <c r="Q530" i="3" s="1"/>
  <c r="R530" i="3" s="1"/>
  <c r="S530" i="3" s="1"/>
  <c r="AC530" i="3"/>
  <c r="AA530" i="3"/>
  <c r="T530" i="3" l="1"/>
  <c r="AG530" i="3" s="1"/>
  <c r="U529" i="3"/>
  <c r="Y528" i="3"/>
  <c r="D530" i="3" l="1"/>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D537" i="3"/>
  <c r="AA537" i="3"/>
  <c r="U536" i="3" l="1"/>
  <c r="Y535" i="3"/>
  <c r="T537" i="3"/>
  <c r="AH537" i="3" s="1"/>
  <c r="AG537" i="3" l="1"/>
  <c r="E537" i="3"/>
  <c r="H537" i="3" s="1"/>
  <c r="D537" i="3"/>
  <c r="K537" i="3" l="1"/>
  <c r="AE537" i="3" s="1"/>
  <c r="F537" i="3"/>
  <c r="G537" i="3"/>
  <c r="I537" i="3" l="1"/>
  <c r="J537" i="3"/>
  <c r="M537" i="3"/>
  <c r="N537" i="3" s="1"/>
  <c r="V537" i="3"/>
  <c r="A538" i="3"/>
  <c r="B538" i="3" s="1"/>
  <c r="W537" i="3" l="1"/>
  <c r="L537" i="3"/>
  <c r="AA538" i="3"/>
  <c r="AC538" i="3"/>
  <c r="AD538" i="3"/>
  <c r="Z538" i="3"/>
  <c r="P538" i="3"/>
  <c r="Q538" i="3" s="1"/>
  <c r="R538" i="3" s="1"/>
  <c r="S538" i="3" s="1"/>
  <c r="T538" i="3" l="1"/>
  <c r="U537" i="3"/>
  <c r="Y536" i="3"/>
  <c r="D538" i="3" l="1"/>
  <c r="G538" i="3" s="1"/>
  <c r="AH538" i="3"/>
  <c r="AG538" i="3"/>
  <c r="E538" i="3"/>
  <c r="H538" i="3" s="1"/>
  <c r="F538" i="3" l="1"/>
  <c r="I538" i="3"/>
  <c r="J538" i="3"/>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D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M545" i="3"/>
  <c r="N545" i="3" s="1"/>
  <c r="AC546" i="3"/>
  <c r="P546" i="3"/>
  <c r="Q546" i="3" s="1"/>
  <c r="R546" i="3" s="1"/>
  <c r="S546" i="3" s="1"/>
  <c r="Z546" i="3"/>
  <c r="AA546" i="3"/>
  <c r="AD546" i="3"/>
  <c r="T546" i="3" l="1"/>
  <c r="L545" i="3"/>
  <c r="U545" i="3" l="1"/>
  <c r="D546" i="3" s="1"/>
  <c r="AG546" i="3"/>
  <c r="AH546" i="3"/>
  <c r="Y544" i="3"/>
  <c r="E546" i="3" l="1"/>
  <c r="H546" i="3" s="1"/>
  <c r="K546" i="3" s="1"/>
  <c r="AE546" i="3" s="1"/>
  <c r="G546" i="3"/>
  <c r="F546" i="3" l="1"/>
  <c r="V546" i="3"/>
  <c r="A547" i="3"/>
  <c r="B547" i="3" s="1"/>
  <c r="I546" i="3"/>
  <c r="J546" i="3"/>
  <c r="M546" i="3"/>
  <c r="N546" i="3" s="1"/>
  <c r="W546" i="3" l="1"/>
  <c r="L546" i="3"/>
  <c r="AC547" i="3"/>
  <c r="AD547" i="3"/>
  <c r="P547" i="3"/>
  <c r="Q547" i="3" s="1"/>
  <c r="R547" i="3" s="1"/>
  <c r="S547" i="3" s="1"/>
  <c r="AA547" i="3"/>
  <c r="Z547" i="3"/>
  <c r="U546" i="3" l="1"/>
  <c r="Y545" i="3"/>
  <c r="T547" i="3"/>
  <c r="AG547" i="3" s="1"/>
  <c r="E547" i="3" l="1"/>
  <c r="H547" i="3" s="1"/>
  <c r="K547" i="3" s="1"/>
  <c r="AE547" i="3" s="1"/>
  <c r="D547" i="3"/>
  <c r="G547" i="3" s="1"/>
  <c r="AH547" i="3"/>
  <c r="F547" i="3" l="1"/>
  <c r="I547" i="3"/>
  <c r="J547" i="3"/>
  <c r="M547" i="3"/>
  <c r="N547" i="3" s="1"/>
  <c r="V547" i="3"/>
  <c r="A548" i="3"/>
  <c r="B548" i="3" s="1"/>
  <c r="W547" i="3" l="1"/>
  <c r="L547" i="3"/>
  <c r="Z548" i="3"/>
  <c r="AA548" i="3"/>
  <c r="P548" i="3"/>
  <c r="Q548" i="3" s="1"/>
  <c r="R548" i="3" s="1"/>
  <c r="S548" i="3" s="1"/>
  <c r="AC548" i="3"/>
  <c r="AD548" i="3"/>
  <c r="U547" i="3" l="1"/>
  <c r="Y546" i="3"/>
  <c r="T548" i="3"/>
  <c r="E548" i="3" l="1"/>
  <c r="H548" i="3" s="1"/>
  <c r="K548" i="3" s="1"/>
  <c r="AE548" i="3" s="1"/>
  <c r="D548" i="3"/>
  <c r="AG548" i="3"/>
  <c r="AH548" i="3"/>
  <c r="V548" i="3" l="1"/>
  <c r="A549" i="3"/>
  <c r="B549" i="3" s="1"/>
  <c r="F548" i="3"/>
  <c r="G548" i="3"/>
  <c r="I548" i="3" l="1"/>
  <c r="W548" i="3" s="1"/>
  <c r="J548" i="3"/>
  <c r="M548" i="3"/>
  <c r="N548" i="3" s="1"/>
  <c r="P549" i="3"/>
  <c r="Q549" i="3" s="1"/>
  <c r="R549" i="3" s="1"/>
  <c r="S549" i="3" s="1"/>
  <c r="AC549" i="3"/>
  <c r="AA549" i="3"/>
  <c r="Z549" i="3"/>
  <c r="AD549" i="3"/>
  <c r="T549" i="3" l="1"/>
  <c r="L548" i="3"/>
  <c r="AH549" i="3" l="1"/>
  <c r="U548" i="3"/>
  <c r="E549" i="3" s="1"/>
  <c r="H549" i="3" s="1"/>
  <c r="AG549" i="3"/>
  <c r="Y547" i="3"/>
  <c r="K549" i="3" l="1"/>
  <c r="AE549" i="3" s="1"/>
  <c r="D549" i="3"/>
  <c r="V549" i="3" l="1"/>
  <c r="A550" i="3"/>
  <c r="B550" i="3" s="1"/>
  <c r="F549" i="3"/>
  <c r="G549" i="3"/>
  <c r="I549" i="3" l="1"/>
  <c r="W549" i="3" s="1"/>
  <c r="J549" i="3"/>
  <c r="M549" i="3"/>
  <c r="N549" i="3" s="1"/>
  <c r="P550" i="3"/>
  <c r="Q550" i="3" s="1"/>
  <c r="R550" i="3" s="1"/>
  <c r="S550" i="3" s="1"/>
  <c r="AA550" i="3"/>
  <c r="AC550" i="3"/>
  <c r="Z550" i="3"/>
  <c r="AD550" i="3"/>
  <c r="T550" i="3" l="1"/>
  <c r="L549" i="3"/>
  <c r="U549" i="3" l="1"/>
  <c r="D550" i="3" s="1"/>
  <c r="AH550" i="3"/>
  <c r="AG550" i="3"/>
  <c r="Y548" i="3"/>
  <c r="E550" i="3" l="1"/>
  <c r="H550" i="3" s="1"/>
  <c r="K550" i="3" s="1"/>
  <c r="AE550" i="3" s="1"/>
  <c r="G550" i="3"/>
  <c r="F550" i="3" l="1"/>
  <c r="I550" i="3"/>
  <c r="J550" i="3"/>
  <c r="M550" i="3"/>
  <c r="N550" i="3" s="1"/>
  <c r="V550" i="3"/>
  <c r="A551" i="3"/>
  <c r="B551" i="3" s="1"/>
  <c r="W550" i="3" l="1"/>
  <c r="L550" i="3"/>
  <c r="AD551" i="3"/>
  <c r="P551" i="3"/>
  <c r="Q551" i="3" s="1"/>
  <c r="R551" i="3" s="1"/>
  <c r="S551" i="3" s="1"/>
  <c r="AC551" i="3"/>
  <c r="AA551" i="3"/>
  <c r="Z551" i="3"/>
  <c r="T551" i="3" l="1"/>
  <c r="AG551" i="3" s="1"/>
  <c r="U550" i="3"/>
  <c r="Y549" i="3"/>
  <c r="D551" i="3" l="1"/>
  <c r="G551" i="3" s="1"/>
  <c r="AH551" i="3"/>
  <c r="E551" i="3"/>
  <c r="H551" i="3" s="1"/>
  <c r="F551" i="3" l="1"/>
  <c r="I551" i="3"/>
  <c r="J551" i="3"/>
  <c r="M551" i="3"/>
  <c r="N551" i="3" s="1"/>
  <c r="K551" i="3"/>
  <c r="AE551" i="3" s="1"/>
  <c r="V551" i="3" l="1"/>
  <c r="W551" i="3" s="1"/>
  <c r="A552" i="3"/>
  <c r="B552" i="3" s="1"/>
  <c r="L551" i="3"/>
  <c r="U551" i="3" l="1"/>
  <c r="Y550" i="3"/>
  <c r="AA552" i="3"/>
  <c r="P552" i="3"/>
  <c r="Q552" i="3" s="1"/>
  <c r="R552" i="3" s="1"/>
  <c r="S552" i="3" s="1"/>
  <c r="AC552" i="3"/>
  <c r="Z552" i="3"/>
  <c r="AD552" i="3"/>
  <c r="T552" i="3" l="1"/>
  <c r="D552" i="3" s="1"/>
  <c r="AG552" i="3" l="1"/>
  <c r="AH552" i="3"/>
  <c r="E552" i="3"/>
  <c r="H552" i="3" s="1"/>
  <c r="K552" i="3" s="1"/>
  <c r="AE552" i="3" s="1"/>
  <c r="G552" i="3"/>
  <c r="F552" i="3" l="1"/>
  <c r="I552" i="3"/>
  <c r="J552" i="3"/>
  <c r="M552" i="3"/>
  <c r="N552" i="3" s="1"/>
  <c r="V552" i="3"/>
  <c r="A553" i="3"/>
  <c r="B553" i="3" s="1"/>
  <c r="W552" i="3" l="1"/>
  <c r="L552" i="3"/>
  <c r="P553" i="3"/>
  <c r="Q553" i="3" s="1"/>
  <c r="R553" i="3" s="1"/>
  <c r="S553" i="3" s="1"/>
  <c r="Z553" i="3"/>
  <c r="AC553" i="3"/>
  <c r="AA553" i="3"/>
  <c r="AD553" i="3"/>
  <c r="T553" i="3" l="1"/>
  <c r="U552" i="3"/>
  <c r="Y551" i="3"/>
  <c r="D553" i="3" l="1"/>
  <c r="G553" i="3" s="1"/>
  <c r="AH553" i="3"/>
  <c r="AG553" i="3"/>
  <c r="E553" i="3"/>
  <c r="H553" i="3" s="1"/>
  <c r="K553" i="3" l="1"/>
  <c r="AE553" i="3" s="1"/>
  <c r="F553" i="3"/>
  <c r="I553" i="3"/>
  <c r="J553" i="3"/>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AD555" i="3"/>
  <c r="L554" i="3" l="1"/>
  <c r="T555" i="3"/>
  <c r="U554" i="3" l="1"/>
  <c r="E555" i="3" s="1"/>
  <c r="H555" i="3" s="1"/>
  <c r="AG555" i="3"/>
  <c r="AH555" i="3"/>
  <c r="Y553" i="3"/>
  <c r="K555" i="3" l="1"/>
  <c r="AE555" i="3" s="1"/>
  <c r="D555" i="3"/>
  <c r="F555" i="3" l="1"/>
  <c r="G555" i="3"/>
  <c r="V555" i="3"/>
  <c r="A556" i="3"/>
  <c r="B556" i="3" s="1"/>
  <c r="P556" i="3" l="1"/>
  <c r="Q556" i="3" s="1"/>
  <c r="R556" i="3" s="1"/>
  <c r="S556" i="3" s="1"/>
  <c r="AA556" i="3"/>
  <c r="AD556" i="3"/>
  <c r="Z556" i="3"/>
  <c r="AC556" i="3"/>
  <c r="I555" i="3"/>
  <c r="W555" i="3" s="1"/>
  <c r="J555" i="3"/>
  <c r="M555" i="3"/>
  <c r="N555" i="3" s="1"/>
  <c r="T556" i="3" l="1"/>
  <c r="L555" i="3"/>
  <c r="AH556" i="3" l="1"/>
  <c r="U555" i="3"/>
  <c r="D556" i="3" s="1"/>
  <c r="AG556" i="3"/>
  <c r="Y554" i="3"/>
  <c r="E556" i="3" l="1"/>
  <c r="H556" i="3" s="1"/>
  <c r="K556" i="3" s="1"/>
  <c r="AE556" i="3" s="1"/>
  <c r="G556" i="3"/>
  <c r="F556" i="3" l="1"/>
  <c r="I556" i="3"/>
  <c r="J556" i="3"/>
  <c r="M556" i="3"/>
  <c r="N556" i="3" s="1"/>
  <c r="V556" i="3"/>
  <c r="A557" i="3"/>
  <c r="B557" i="3" s="1"/>
  <c r="W556" i="3" l="1"/>
  <c r="L556" i="3"/>
  <c r="AD557" i="3"/>
  <c r="P557" i="3"/>
  <c r="Q557" i="3" s="1"/>
  <c r="R557" i="3" s="1"/>
  <c r="S557" i="3" s="1"/>
  <c r="AA557" i="3"/>
  <c r="AC557" i="3"/>
  <c r="Z557" i="3"/>
  <c r="U556" i="3" l="1"/>
  <c r="Y555" i="3"/>
  <c r="T557" i="3"/>
  <c r="AH557" i="3" s="1"/>
  <c r="D557" i="3" l="1"/>
  <c r="G557" i="3" s="1"/>
  <c r="AG557" i="3"/>
  <c r="E557" i="3"/>
  <c r="H557" i="3" s="1"/>
  <c r="K557" i="3" s="1"/>
  <c r="AE557" i="3" s="1"/>
  <c r="F557" i="3" l="1"/>
  <c r="I557" i="3"/>
  <c r="J557" i="3"/>
  <c r="M557" i="3"/>
  <c r="N557" i="3" s="1"/>
  <c r="V557" i="3"/>
  <c r="A558" i="3"/>
  <c r="B558" i="3" s="1"/>
  <c r="W557" i="3" l="1"/>
  <c r="L557" i="3"/>
  <c r="AA558" i="3"/>
  <c r="AD558" i="3"/>
  <c r="P558" i="3"/>
  <c r="Q558" i="3" s="1"/>
  <c r="R558" i="3" s="1"/>
  <c r="S558" i="3" s="1"/>
  <c r="Z558" i="3"/>
  <c r="AC558" i="3"/>
  <c r="T558" i="3" l="1"/>
  <c r="AG558" i="3" s="1"/>
  <c r="U557" i="3"/>
  <c r="Y556" i="3"/>
  <c r="E558" i="3" l="1"/>
  <c r="H558" i="3" s="1"/>
  <c r="AH558" i="3"/>
  <c r="D558" i="3"/>
  <c r="F558" i="3" l="1"/>
  <c r="G558" i="3"/>
  <c r="K558" i="3"/>
  <c r="AE558" i="3" s="1"/>
  <c r="I558" i="3" l="1"/>
  <c r="J558" i="3"/>
  <c r="M558" i="3"/>
  <c r="N558" i="3" s="1"/>
  <c r="V558" i="3"/>
  <c r="A559" i="3"/>
  <c r="B559" i="3" s="1"/>
  <c r="W558" i="3" l="1"/>
  <c r="L558" i="3"/>
  <c r="AC559" i="3"/>
  <c r="P559" i="3"/>
  <c r="Q559" i="3" s="1"/>
  <c r="R559" i="3" s="1"/>
  <c r="S559" i="3" s="1"/>
  <c r="AA559" i="3"/>
  <c r="Z559" i="3"/>
  <c r="AD559" i="3"/>
  <c r="T559" i="3" l="1"/>
  <c r="U558" i="3"/>
  <c r="Y557" i="3"/>
  <c r="E559" i="3" l="1"/>
  <c r="H559" i="3" s="1"/>
  <c r="K559" i="3" s="1"/>
  <c r="AE559" i="3" s="1"/>
  <c r="AH559" i="3"/>
  <c r="AG559" i="3"/>
  <c r="D559" i="3"/>
  <c r="V559" i="3" l="1"/>
  <c r="A560" i="3"/>
  <c r="B560" i="3" s="1"/>
  <c r="F559" i="3"/>
  <c r="G559" i="3"/>
  <c r="I559" i="3" l="1"/>
  <c r="W559" i="3" s="1"/>
  <c r="J559" i="3"/>
  <c r="M559" i="3"/>
  <c r="N559" i="3" s="1"/>
  <c r="AD560" i="3"/>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M560" i="3"/>
  <c r="N560" i="3" s="1"/>
  <c r="W560" i="3" l="1"/>
  <c r="L560" i="3"/>
  <c r="AA561" i="3"/>
  <c r="P561" i="3"/>
  <c r="Q561" i="3" s="1"/>
  <c r="R561" i="3" s="1"/>
  <c r="S561" i="3" s="1"/>
  <c r="Z561" i="3"/>
  <c r="AD561" i="3"/>
  <c r="AC561" i="3"/>
  <c r="U560" i="3" l="1"/>
  <c r="Y559" i="3"/>
  <c r="T561" i="3"/>
  <c r="E561" i="3" l="1"/>
  <c r="H561" i="3" s="1"/>
  <c r="K561" i="3" s="1"/>
  <c r="AE561" i="3" s="1"/>
  <c r="D561" i="3"/>
  <c r="AH561" i="3"/>
  <c r="AG561" i="3"/>
  <c r="F561" i="3" l="1"/>
  <c r="G561" i="3"/>
  <c r="M561" i="3" s="1"/>
  <c r="N561" i="3" s="1"/>
  <c r="V561" i="3"/>
  <c r="A562" i="3"/>
  <c r="B562" i="3" s="1"/>
  <c r="I561" i="3" l="1"/>
  <c r="W561" i="3" s="1"/>
  <c r="J561" i="3"/>
  <c r="L561" i="3" s="1"/>
  <c r="Z562" i="3"/>
  <c r="AA562" i="3"/>
  <c r="AD562" i="3"/>
  <c r="P562" i="3"/>
  <c r="Q562" i="3" s="1"/>
  <c r="R562" i="3" s="1"/>
  <c r="S562" i="3" s="1"/>
  <c r="AC562" i="3"/>
  <c r="U561" i="3" l="1"/>
  <c r="Y560" i="3"/>
  <c r="T562" i="3"/>
  <c r="AH562" i="3" s="1"/>
  <c r="AG562" i="3" l="1"/>
  <c r="E562" i="3"/>
  <c r="H562" i="3" s="1"/>
  <c r="K562" i="3" s="1"/>
  <c r="AE562" i="3" s="1"/>
  <c r="D562" i="3"/>
  <c r="F562" i="3" l="1"/>
  <c r="G562" i="3"/>
  <c r="J562" i="3" s="1"/>
  <c r="V562" i="3"/>
  <c r="A563" i="3"/>
  <c r="B563" i="3" s="1"/>
  <c r="M562" i="3" l="1"/>
  <c r="N562" i="3" s="1"/>
  <c r="I562" i="3"/>
  <c r="W562" i="3" s="1"/>
  <c r="L562" i="3"/>
  <c r="Z563" i="3"/>
  <c r="P563" i="3"/>
  <c r="Q563" i="3" s="1"/>
  <c r="R563" i="3" s="1"/>
  <c r="S563" i="3" s="1"/>
  <c r="AC563" i="3"/>
  <c r="AA563" i="3"/>
  <c r="AD563" i="3"/>
  <c r="U562" i="3" l="1"/>
  <c r="Y561" i="3"/>
  <c r="T563" i="3"/>
  <c r="AH563" i="3" s="1"/>
  <c r="AG563" i="3" l="1"/>
  <c r="D563" i="3"/>
  <c r="E563" i="3"/>
  <c r="H563" i="3" s="1"/>
  <c r="K563" i="3" s="1"/>
  <c r="AE563" i="3" s="1"/>
  <c r="F563" i="3" l="1"/>
  <c r="G563" i="3"/>
  <c r="M563" i="3" s="1"/>
  <c r="N563" i="3" s="1"/>
  <c r="V563" i="3"/>
  <c r="A564" i="3"/>
  <c r="B564" i="3" s="1"/>
  <c r="I563" i="3" l="1"/>
  <c r="W563" i="3" s="1"/>
  <c r="J563" i="3"/>
  <c r="L563" i="3" s="1"/>
  <c r="Z564" i="3"/>
  <c r="P564" i="3"/>
  <c r="Q564" i="3" s="1"/>
  <c r="R564" i="3" s="1"/>
  <c r="S564" i="3" s="1"/>
  <c r="AC564" i="3"/>
  <c r="AA564" i="3"/>
  <c r="U563" i="3" l="1"/>
  <c r="Y562" i="3"/>
  <c r="T564" i="3"/>
  <c r="AH564" i="3" s="1"/>
  <c r="D564" i="3" l="1"/>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AD565" i="3"/>
  <c r="U564" i="3" l="1"/>
  <c r="Y563" i="3"/>
  <c r="T565" i="3"/>
  <c r="E565" i="3" l="1"/>
  <c r="H565" i="3" s="1"/>
  <c r="K565" i="3" s="1"/>
  <c r="AE565" i="3" s="1"/>
  <c r="D565" i="3"/>
  <c r="AG565" i="3"/>
  <c r="AH565" i="3"/>
  <c r="V565" i="3" l="1"/>
  <c r="A566" i="3"/>
  <c r="B566" i="3" s="1"/>
  <c r="F565" i="3"/>
  <c r="G565" i="3"/>
  <c r="I565" i="3" l="1"/>
  <c r="W565" i="3" s="1"/>
  <c r="J565" i="3"/>
  <c r="M565" i="3"/>
  <c r="N565" i="3" s="1"/>
  <c r="AD566" i="3"/>
  <c r="Z566" i="3"/>
  <c r="AA566" i="3"/>
  <c r="P566" i="3"/>
  <c r="Q566" i="3" s="1"/>
  <c r="R566" i="3" s="1"/>
  <c r="S566" i="3" s="1"/>
  <c r="AC566" i="3"/>
  <c r="L565" i="3" l="1"/>
  <c r="T566" i="3"/>
  <c r="AG566" i="3" l="1"/>
  <c r="AH566" i="3"/>
  <c r="U565" i="3"/>
  <c r="D566" i="3" s="1"/>
  <c r="Y564" i="3"/>
  <c r="G566" i="3" l="1"/>
  <c r="E566" i="3"/>
  <c r="H566" i="3" s="1"/>
  <c r="F566" i="3" l="1"/>
  <c r="I566" i="3"/>
  <c r="J566" i="3"/>
  <c r="M566" i="3"/>
  <c r="N566" i="3" s="1"/>
  <c r="K566" i="3"/>
  <c r="AE566" i="3" s="1"/>
  <c r="V566" i="3" l="1"/>
  <c r="W566" i="3" s="1"/>
  <c r="A567" i="3"/>
  <c r="B567" i="3" s="1"/>
  <c r="L566" i="3"/>
  <c r="U566" i="3" l="1"/>
  <c r="Y565" i="3"/>
  <c r="P567" i="3"/>
  <c r="Q567" i="3" s="1"/>
  <c r="R567" i="3" s="1"/>
  <c r="S567" i="3" s="1"/>
  <c r="AA567" i="3"/>
  <c r="AD567" i="3"/>
  <c r="Z567" i="3"/>
  <c r="AC567" i="3"/>
  <c r="T567" i="3" l="1"/>
  <c r="AG567" i="3" s="1"/>
  <c r="AH567" i="3" l="1"/>
  <c r="E567" i="3"/>
  <c r="H567" i="3" s="1"/>
  <c r="K567" i="3" s="1"/>
  <c r="AE567" i="3" s="1"/>
  <c r="D567" i="3"/>
  <c r="G567" i="3" s="1"/>
  <c r="F567" i="3" l="1"/>
  <c r="I567" i="3"/>
  <c r="J567" i="3"/>
  <c r="M567" i="3"/>
  <c r="N567" i="3" s="1"/>
  <c r="V567" i="3"/>
  <c r="A568" i="3"/>
  <c r="B568" i="3" s="1"/>
  <c r="W567" i="3" l="1"/>
  <c r="L567" i="3"/>
  <c r="AC568" i="3"/>
  <c r="AD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M568" i="3"/>
  <c r="N568" i="3" s="1"/>
  <c r="L568" i="3" l="1"/>
  <c r="W568" i="3"/>
  <c r="AA569" i="3"/>
  <c r="AD569" i="3"/>
  <c r="P569" i="3"/>
  <c r="Q569" i="3" s="1"/>
  <c r="R569" i="3" s="1"/>
  <c r="S569" i="3" s="1"/>
  <c r="AC569" i="3"/>
  <c r="Z569" i="3"/>
  <c r="T569" i="3" l="1"/>
  <c r="AH569" i="3" s="1"/>
  <c r="U568" i="3"/>
  <c r="Y567" i="3"/>
  <c r="D569" i="3" l="1"/>
  <c r="G569" i="3" s="1"/>
  <c r="AG569" i="3"/>
  <c r="E569" i="3"/>
  <c r="H569" i="3" s="1"/>
  <c r="F569" i="3" l="1"/>
  <c r="I569" i="3"/>
  <c r="J569" i="3"/>
  <c r="M569" i="3"/>
  <c r="N569" i="3" s="1"/>
  <c r="K569" i="3"/>
  <c r="AE569" i="3" s="1"/>
  <c r="L569" i="3" l="1"/>
  <c r="V569" i="3"/>
  <c r="W569" i="3" s="1"/>
  <c r="A570" i="3"/>
  <c r="B570" i="3" s="1"/>
  <c r="AC570" i="3" l="1"/>
  <c r="P570" i="3"/>
  <c r="Q570" i="3" s="1"/>
  <c r="R570" i="3" s="1"/>
  <c r="S570" i="3" s="1"/>
  <c r="AD570" i="3"/>
  <c r="Z570" i="3"/>
  <c r="AA570" i="3"/>
  <c r="U569" i="3"/>
  <c r="Y568" i="3"/>
  <c r="T570" i="3" l="1"/>
  <c r="D570" i="3" l="1"/>
  <c r="E570" i="3"/>
  <c r="H570" i="3" s="1"/>
  <c r="AG570" i="3"/>
  <c r="AH570" i="3"/>
  <c r="F570" i="3" l="1"/>
  <c r="G570" i="3"/>
  <c r="K570" i="3"/>
  <c r="AE570" i="3" s="1"/>
  <c r="V570" i="3" l="1"/>
  <c r="A571" i="3"/>
  <c r="B571" i="3" s="1"/>
  <c r="I570" i="3"/>
  <c r="J570" i="3"/>
  <c r="M570" i="3"/>
  <c r="N570" i="3" s="1"/>
  <c r="W570" i="3" l="1"/>
  <c r="L570" i="3"/>
  <c r="P571" i="3"/>
  <c r="Q571" i="3" s="1"/>
  <c r="R571" i="3" s="1"/>
  <c r="S571" i="3" s="1"/>
  <c r="AD571" i="3"/>
  <c r="AA571" i="3"/>
  <c r="Z571" i="3"/>
  <c r="AC571" i="3"/>
  <c r="U570" i="3" l="1"/>
  <c r="Y569" i="3"/>
  <c r="T571" i="3"/>
  <c r="D571" i="3" l="1"/>
  <c r="G571" i="3" s="1"/>
  <c r="AG571" i="3"/>
  <c r="AH571" i="3"/>
  <c r="E571" i="3"/>
  <c r="H571" i="3" s="1"/>
  <c r="K571" i="3" s="1"/>
  <c r="AE571" i="3" s="1"/>
  <c r="F571" i="3" l="1"/>
  <c r="V571" i="3"/>
  <c r="A572" i="3"/>
  <c r="B572" i="3" s="1"/>
  <c r="I571" i="3"/>
  <c r="J571" i="3"/>
  <c r="M571" i="3"/>
  <c r="N571" i="3" s="1"/>
  <c r="W571" i="3" l="1"/>
  <c r="L571" i="3"/>
  <c r="AC572" i="3"/>
  <c r="AD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M572" i="3"/>
  <c r="N572" i="3" s="1"/>
  <c r="W572" i="3" l="1"/>
  <c r="L572" i="3"/>
  <c r="P573" i="3"/>
  <c r="Q573" i="3" s="1"/>
  <c r="R573" i="3" s="1"/>
  <c r="S573" i="3" s="1"/>
  <c r="Z573" i="3"/>
  <c r="AC573" i="3"/>
  <c r="AA573" i="3"/>
  <c r="AD573" i="3"/>
  <c r="U572" i="3" l="1"/>
  <c r="Y571" i="3"/>
  <c r="T573" i="3"/>
  <c r="E573" i="3" l="1"/>
  <c r="H573" i="3" s="1"/>
  <c r="K573" i="3" s="1"/>
  <c r="AE573" i="3" s="1"/>
  <c r="D573" i="3"/>
  <c r="AH573" i="3"/>
  <c r="AG573" i="3"/>
  <c r="F573" i="3" l="1"/>
  <c r="G573" i="3"/>
  <c r="I573" i="3" s="1"/>
  <c r="V573" i="3"/>
  <c r="A574" i="3"/>
  <c r="B574" i="3" s="1"/>
  <c r="J573" i="3" l="1"/>
  <c r="L573" i="3" s="1"/>
  <c r="M573" i="3"/>
  <c r="N573" i="3" s="1"/>
  <c r="W573" i="3"/>
  <c r="AA574" i="3"/>
  <c r="Z574" i="3"/>
  <c r="P574" i="3"/>
  <c r="Q574" i="3" s="1"/>
  <c r="R574" i="3" s="1"/>
  <c r="S574" i="3" s="1"/>
  <c r="AC574" i="3"/>
  <c r="U573" i="3" l="1"/>
  <c r="Y572" i="3"/>
  <c r="T574" i="3"/>
  <c r="AH574" i="3" s="1"/>
  <c r="D574" i="3" l="1"/>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AD575" i="3"/>
  <c r="T575" i="3" l="1"/>
  <c r="AH575" i="3" s="1"/>
  <c r="AG575" i="3" l="1"/>
  <c r="E575" i="3"/>
  <c r="H575" i="3" s="1"/>
  <c r="D575" i="3"/>
  <c r="K575" i="3" l="1"/>
  <c r="AE575" i="3" s="1"/>
  <c r="F575" i="3"/>
  <c r="G575" i="3"/>
  <c r="V575" i="3" l="1"/>
  <c r="A576" i="3"/>
  <c r="B576" i="3" s="1"/>
  <c r="I575" i="3"/>
  <c r="J575" i="3"/>
  <c r="M575" i="3"/>
  <c r="N575" i="3" s="1"/>
  <c r="W575" i="3" l="1"/>
  <c r="L575" i="3"/>
  <c r="AA576" i="3"/>
  <c r="P576" i="3"/>
  <c r="Q576" i="3" s="1"/>
  <c r="R576" i="3" s="1"/>
  <c r="S576" i="3" s="1"/>
  <c r="AD576" i="3"/>
  <c r="Z576" i="3"/>
  <c r="AC576" i="3"/>
  <c r="U575" i="3" l="1"/>
  <c r="Y574" i="3"/>
  <c r="T576" i="3"/>
  <c r="E576" i="3" l="1"/>
  <c r="H576" i="3" s="1"/>
  <c r="K576" i="3" s="1"/>
  <c r="AE576" i="3" s="1"/>
  <c r="AH576" i="3"/>
  <c r="D576" i="3"/>
  <c r="G576" i="3" s="1"/>
  <c r="AG576" i="3"/>
  <c r="F576" i="3" l="1"/>
  <c r="V576" i="3"/>
  <c r="A577" i="3"/>
  <c r="B577" i="3" s="1"/>
  <c r="I576" i="3"/>
  <c r="J576" i="3"/>
  <c r="M576" i="3"/>
  <c r="N576" i="3" s="1"/>
  <c r="W576" i="3" l="1"/>
  <c r="L576" i="3"/>
  <c r="P577" i="3"/>
  <c r="Q577" i="3" s="1"/>
  <c r="R577" i="3" s="1"/>
  <c r="S577" i="3" s="1"/>
  <c r="AD577" i="3"/>
  <c r="AC577" i="3"/>
  <c r="AA577" i="3"/>
  <c r="Z577" i="3"/>
  <c r="U576" i="3" l="1"/>
  <c r="Y575" i="3"/>
  <c r="T577" i="3"/>
  <c r="AH577" i="3" s="1"/>
  <c r="E577" i="3" l="1"/>
  <c r="H577" i="3" s="1"/>
  <c r="K577" i="3" s="1"/>
  <c r="AE577" i="3" s="1"/>
  <c r="AG577" i="3"/>
  <c r="D577" i="3"/>
  <c r="F577" i="3" l="1"/>
  <c r="G577" i="3"/>
  <c r="J577" i="3" s="1"/>
  <c r="V577" i="3"/>
  <c r="A578" i="3"/>
  <c r="B578" i="3" s="1"/>
  <c r="M577" i="3" l="1"/>
  <c r="N577" i="3" s="1"/>
  <c r="I577" i="3"/>
  <c r="W577" i="3" s="1"/>
  <c r="L577" i="3"/>
  <c r="AC578" i="3"/>
  <c r="AD578" i="3"/>
  <c r="P578" i="3"/>
  <c r="Q578" i="3" s="1"/>
  <c r="R578" i="3" s="1"/>
  <c r="S578" i="3" s="1"/>
  <c r="Z578" i="3"/>
  <c r="AA578" i="3"/>
  <c r="U577" i="3" l="1"/>
  <c r="Y576" i="3"/>
  <c r="T578" i="3"/>
  <c r="AG578" i="3" s="1"/>
  <c r="D578" i="3" l="1"/>
  <c r="G578" i="3" s="1"/>
  <c r="AH578" i="3"/>
  <c r="E578" i="3"/>
  <c r="H578" i="3" s="1"/>
  <c r="K578" i="3" s="1"/>
  <c r="AE578" i="3" s="1"/>
  <c r="F578" i="3" l="1"/>
  <c r="I578" i="3"/>
  <c r="J578" i="3"/>
  <c r="M578" i="3"/>
  <c r="N578" i="3" s="1"/>
  <c r="V578" i="3"/>
  <c r="A579" i="3"/>
  <c r="B579" i="3" s="1"/>
  <c r="W578" i="3" l="1"/>
  <c r="L578" i="3"/>
  <c r="AC579" i="3"/>
  <c r="Z579" i="3"/>
  <c r="P579" i="3"/>
  <c r="Q579" i="3" s="1"/>
  <c r="R579" i="3" s="1"/>
  <c r="S579" i="3" s="1"/>
  <c r="AD579" i="3"/>
  <c r="AA579" i="3"/>
  <c r="U578" i="3" l="1"/>
  <c r="Y577" i="3"/>
  <c r="T579" i="3"/>
  <c r="AG579" i="3" s="1"/>
  <c r="E579" i="3" l="1"/>
  <c r="H579" i="3" s="1"/>
  <c r="K579" i="3" s="1"/>
  <c r="AE579" i="3" s="1"/>
  <c r="AH579" i="3"/>
  <c r="D579" i="3"/>
  <c r="F579" i="3" l="1"/>
  <c r="G579" i="3"/>
  <c r="M579" i="3" s="1"/>
  <c r="N579" i="3" s="1"/>
  <c r="V579" i="3"/>
  <c r="A580" i="3"/>
  <c r="B580" i="3" s="1"/>
  <c r="I579" i="3" l="1"/>
  <c r="W579" i="3" s="1"/>
  <c r="J579" i="3"/>
  <c r="L579" i="3" s="1"/>
  <c r="AD580" i="3"/>
  <c r="P580" i="3"/>
  <c r="Q580" i="3" s="1"/>
  <c r="R580" i="3" s="1"/>
  <c r="S580" i="3" s="1"/>
  <c r="AA580" i="3"/>
  <c r="AC580" i="3"/>
  <c r="Z580" i="3"/>
  <c r="U579" i="3" l="1"/>
  <c r="Y578" i="3"/>
  <c r="T580" i="3"/>
  <c r="AH580" i="3" s="1"/>
  <c r="E580" i="3" l="1"/>
  <c r="H580" i="3" s="1"/>
  <c r="D580" i="3"/>
  <c r="AG580" i="3"/>
  <c r="K580" i="3" l="1"/>
  <c r="AE580" i="3" s="1"/>
  <c r="F580" i="3"/>
  <c r="G580" i="3"/>
  <c r="I580" i="3" l="1"/>
  <c r="J580" i="3"/>
  <c r="M580" i="3"/>
  <c r="N580" i="3" s="1"/>
  <c r="V580" i="3"/>
  <c r="A581" i="3"/>
  <c r="B581" i="3" s="1"/>
  <c r="W580" i="3" l="1"/>
  <c r="P581" i="3"/>
  <c r="Q581" i="3" s="1"/>
  <c r="R581" i="3" s="1"/>
  <c r="S581" i="3" s="1"/>
  <c r="Z581" i="3"/>
  <c r="AA581" i="3"/>
  <c r="AC581" i="3"/>
  <c r="AD581" i="3"/>
  <c r="L580" i="3"/>
  <c r="T581" i="3" l="1"/>
  <c r="AH581" i="3" s="1"/>
  <c r="U580" i="3"/>
  <c r="Y579" i="3"/>
  <c r="D581" i="3" l="1"/>
  <c r="G581" i="3" s="1"/>
  <c r="AG581" i="3"/>
  <c r="E581" i="3"/>
  <c r="H581" i="3" s="1"/>
  <c r="I581" i="3" l="1"/>
  <c r="J581" i="3"/>
  <c r="M581" i="3"/>
  <c r="N581" i="3" s="1"/>
  <c r="F581" i="3"/>
  <c r="K581" i="3"/>
  <c r="AE581" i="3" s="1"/>
  <c r="L581" i="3" l="1"/>
  <c r="V581" i="3"/>
  <c r="W581" i="3" s="1"/>
  <c r="A582" i="3"/>
  <c r="B582" i="3" s="1"/>
  <c r="P582" i="3" l="1"/>
  <c r="Q582" i="3" s="1"/>
  <c r="R582" i="3" s="1"/>
  <c r="S582" i="3" s="1"/>
  <c r="Z582" i="3"/>
  <c r="AD582" i="3"/>
  <c r="AC582" i="3"/>
  <c r="AA582" i="3"/>
  <c r="U581" i="3"/>
  <c r="Y580" i="3"/>
  <c r="T582" i="3" l="1"/>
  <c r="AH582" i="3" s="1"/>
  <c r="E582" i="3" l="1"/>
  <c r="H582" i="3" s="1"/>
  <c r="K582" i="3" s="1"/>
  <c r="AE582" i="3" s="1"/>
  <c r="AG582" i="3"/>
  <c r="D582" i="3"/>
  <c r="V582" i="3" l="1"/>
  <c r="A583" i="3"/>
  <c r="B583" i="3" s="1"/>
  <c r="F582" i="3"/>
  <c r="G582" i="3"/>
  <c r="I582" i="3" l="1"/>
  <c r="W582" i="3" s="1"/>
  <c r="J582" i="3"/>
  <c r="M582" i="3"/>
  <c r="N582" i="3" s="1"/>
  <c r="AD583" i="3"/>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AD587" i="3"/>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M587" i="3"/>
  <c r="N587" i="3" s="1"/>
  <c r="L587" i="3" l="1"/>
  <c r="V587" i="3"/>
  <c r="W587" i="3" s="1"/>
  <c r="A588" i="3"/>
  <c r="B588" i="3" s="1"/>
  <c r="U587" i="3" l="1"/>
  <c r="Y586" i="3"/>
  <c r="P588" i="3"/>
  <c r="Q588" i="3" s="1"/>
  <c r="R588" i="3" s="1"/>
  <c r="S588" i="3" s="1"/>
  <c r="AD588" i="3"/>
  <c r="Z588" i="3"/>
  <c r="AC588" i="3"/>
  <c r="AA588" i="3"/>
  <c r="T588" i="3" l="1"/>
  <c r="AH588" i="3" s="1"/>
  <c r="E588" i="3" l="1"/>
  <c r="H588" i="3" s="1"/>
  <c r="K588" i="3" s="1"/>
  <c r="AE588" i="3" s="1"/>
  <c r="AG588" i="3"/>
  <c r="D588" i="3"/>
  <c r="G588" i="3" s="1"/>
  <c r="F588" i="3" l="1"/>
  <c r="I588" i="3"/>
  <c r="J588" i="3"/>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AD595" i="3"/>
  <c r="T595" i="3" l="1"/>
  <c r="L594" i="3"/>
  <c r="AH595" i="3" l="1"/>
  <c r="U594" i="3"/>
  <c r="E595" i="3" s="1"/>
  <c r="H595" i="3" s="1"/>
  <c r="AG595" i="3"/>
  <c r="Y593" i="3"/>
  <c r="D595" i="3" l="1"/>
  <c r="G595" i="3" s="1"/>
  <c r="K595" i="3"/>
  <c r="AE595" i="3" s="1"/>
  <c r="F595" i="3" l="1"/>
  <c r="V595" i="3"/>
  <c r="A596" i="3"/>
  <c r="B596" i="3" s="1"/>
  <c r="I595" i="3"/>
  <c r="J595" i="3"/>
  <c r="M595" i="3"/>
  <c r="N595" i="3" s="1"/>
  <c r="W595" i="3" l="1"/>
  <c r="L595" i="3"/>
  <c r="P596" i="3"/>
  <c r="Q596" i="3" s="1"/>
  <c r="R596" i="3" s="1"/>
  <c r="S596" i="3" s="1"/>
  <c r="AA596" i="3"/>
  <c r="AC596" i="3"/>
  <c r="AD596" i="3"/>
  <c r="Z596" i="3"/>
  <c r="T596" i="3" l="1"/>
  <c r="AG596" i="3" s="1"/>
  <c r="U595" i="3"/>
  <c r="Y594" i="3"/>
  <c r="D596" i="3" l="1"/>
  <c r="E596" i="3"/>
  <c r="H596" i="3" s="1"/>
  <c r="AH596" i="3"/>
  <c r="F596" i="3" l="1"/>
  <c r="G596" i="3"/>
  <c r="K596" i="3"/>
  <c r="AE596" i="3" s="1"/>
  <c r="V596" i="3" l="1"/>
  <c r="A597" i="3"/>
  <c r="B597" i="3" s="1"/>
  <c r="I596" i="3"/>
  <c r="J596" i="3"/>
  <c r="M596" i="3"/>
  <c r="N596" i="3" s="1"/>
  <c r="W596" i="3" l="1"/>
  <c r="L596" i="3"/>
  <c r="Z597" i="3"/>
  <c r="P597" i="3"/>
  <c r="Q597" i="3" s="1"/>
  <c r="R597" i="3" s="1"/>
  <c r="S597" i="3" s="1"/>
  <c r="AA597" i="3"/>
  <c r="AC597" i="3"/>
  <c r="AD597" i="3"/>
  <c r="U596" i="3" l="1"/>
  <c r="Y595" i="3"/>
  <c r="T597" i="3"/>
  <c r="E597" i="3" l="1"/>
  <c r="H597" i="3" s="1"/>
  <c r="K597" i="3" s="1"/>
  <c r="AE597" i="3" s="1"/>
  <c r="AH597" i="3"/>
  <c r="AG597" i="3"/>
  <c r="D597" i="3"/>
  <c r="G597" i="3" s="1"/>
  <c r="F597" i="3" l="1"/>
  <c r="I597" i="3"/>
  <c r="J597" i="3"/>
  <c r="M597" i="3"/>
  <c r="N597" i="3" s="1"/>
  <c r="V597" i="3"/>
  <c r="A598" i="3"/>
  <c r="B598" i="3" s="1"/>
  <c r="W597" i="3" l="1"/>
  <c r="L597" i="3"/>
  <c r="AC598" i="3"/>
  <c r="P598" i="3"/>
  <c r="Q598" i="3" s="1"/>
  <c r="R598" i="3" s="1"/>
  <c r="S598" i="3" s="1"/>
  <c r="Z598" i="3"/>
  <c r="AA598" i="3"/>
  <c r="AD598" i="3"/>
  <c r="U597" i="3" l="1"/>
  <c r="Y596" i="3"/>
  <c r="T598" i="3"/>
  <c r="AG598" i="3" s="1"/>
  <c r="AH598" i="3" l="1"/>
  <c r="E598" i="3"/>
  <c r="H598" i="3" s="1"/>
  <c r="K598" i="3" s="1"/>
  <c r="AE598" i="3" s="1"/>
  <c r="D598" i="3"/>
  <c r="V598" i="3" l="1"/>
  <c r="A599" i="3"/>
  <c r="B599" i="3" s="1"/>
  <c r="F598" i="3"/>
  <c r="G598" i="3"/>
  <c r="I598" i="3" l="1"/>
  <c r="W598" i="3" s="1"/>
  <c r="J598" i="3"/>
  <c r="M598" i="3"/>
  <c r="N598" i="3" s="1"/>
  <c r="AC599" i="3"/>
  <c r="AA599" i="3"/>
  <c r="P599" i="3"/>
  <c r="Q599" i="3" s="1"/>
  <c r="R599" i="3" s="1"/>
  <c r="S599" i="3" s="1"/>
  <c r="AD599" i="3"/>
  <c r="Z599" i="3"/>
  <c r="T599" i="3" l="1"/>
  <c r="L598" i="3"/>
  <c r="U598" i="3" l="1"/>
  <c r="D599" i="3" s="1"/>
  <c r="AG599" i="3"/>
  <c r="AH599" i="3"/>
  <c r="Y597" i="3"/>
  <c r="G599" i="3" l="1"/>
  <c r="E599" i="3"/>
  <c r="H599" i="3" s="1"/>
  <c r="I599" i="3" l="1"/>
  <c r="J599" i="3"/>
  <c r="M599" i="3"/>
  <c r="N599" i="3" s="1"/>
  <c r="K599" i="3"/>
  <c r="AE599" i="3" s="1"/>
  <c r="F599" i="3"/>
  <c r="V599" i="3" l="1"/>
  <c r="W599" i="3" s="1"/>
  <c r="A600" i="3"/>
  <c r="B600" i="3" s="1"/>
  <c r="L599" i="3"/>
  <c r="U599" i="3" l="1"/>
  <c r="Y598" i="3"/>
  <c r="AC600" i="3"/>
  <c r="P600" i="3"/>
  <c r="Q600" i="3" s="1"/>
  <c r="R600" i="3" s="1"/>
  <c r="S600" i="3" s="1"/>
  <c r="Z600" i="3"/>
  <c r="AA600" i="3"/>
  <c r="AD600" i="3"/>
  <c r="T600" i="3" l="1"/>
  <c r="E600" i="3" s="1"/>
  <c r="H600" i="3" s="1"/>
  <c r="AH600" i="3" l="1"/>
  <c r="K600" i="3"/>
  <c r="AE600" i="3" s="1"/>
  <c r="AG600" i="3"/>
  <c r="D600" i="3"/>
  <c r="V600" i="3" l="1"/>
  <c r="A601" i="3"/>
  <c r="B601" i="3" s="1"/>
  <c r="F600" i="3"/>
  <c r="G600" i="3"/>
  <c r="I600" i="3" l="1"/>
  <c r="W600" i="3" s="1"/>
  <c r="J600" i="3"/>
  <c r="M600" i="3"/>
  <c r="N600" i="3" s="1"/>
  <c r="P601" i="3"/>
  <c r="Q601" i="3" s="1"/>
  <c r="R601" i="3" s="1"/>
  <c r="S601" i="3" s="1"/>
  <c r="AA601" i="3"/>
  <c r="AC601" i="3"/>
  <c r="Z601" i="3"/>
  <c r="AD601" i="3"/>
  <c r="T601" i="3" l="1"/>
  <c r="L600" i="3"/>
  <c r="AH601" i="3" l="1"/>
  <c r="U600" i="3"/>
  <c r="D601" i="3" s="1"/>
  <c r="AG601" i="3"/>
  <c r="Y599" i="3"/>
  <c r="E601" i="3" l="1"/>
  <c r="H601" i="3" s="1"/>
  <c r="K601" i="3" s="1"/>
  <c r="AE601" i="3" s="1"/>
  <c r="G601" i="3"/>
  <c r="F601" i="3" l="1"/>
  <c r="I601" i="3"/>
  <c r="J601" i="3"/>
  <c r="M601" i="3"/>
  <c r="N601" i="3" s="1"/>
  <c r="V601" i="3"/>
  <c r="A602" i="3"/>
  <c r="B602" i="3" s="1"/>
  <c r="W601" i="3" l="1"/>
  <c r="L601" i="3"/>
  <c r="P602" i="3"/>
  <c r="Q602" i="3" s="1"/>
  <c r="R602" i="3" s="1"/>
  <c r="S602" i="3" s="1"/>
  <c r="Z602" i="3"/>
  <c r="AC602" i="3"/>
  <c r="AD602" i="3"/>
  <c r="AA602" i="3"/>
  <c r="U601" i="3" l="1"/>
  <c r="Y600" i="3"/>
  <c r="T602" i="3"/>
  <c r="AG602" i="3" s="1"/>
  <c r="D602" i="3" l="1"/>
  <c r="E602" i="3"/>
  <c r="H602" i="3" s="1"/>
  <c r="AH602" i="3"/>
  <c r="K602" i="3" l="1"/>
  <c r="AE602" i="3" s="1"/>
  <c r="F602" i="3"/>
  <c r="G602" i="3"/>
  <c r="I602" i="3" l="1"/>
  <c r="J602" i="3"/>
  <c r="M602" i="3"/>
  <c r="N602" i="3" s="1"/>
  <c r="V602" i="3"/>
  <c r="A603" i="3"/>
  <c r="B603" i="3" s="1"/>
  <c r="W602" i="3" l="1"/>
  <c r="L602" i="3"/>
  <c r="AA603" i="3"/>
  <c r="AC603" i="3"/>
  <c r="AD603" i="3"/>
  <c r="Z603" i="3"/>
  <c r="P603" i="3"/>
  <c r="Q603" i="3" s="1"/>
  <c r="R603" i="3" s="1"/>
  <c r="S603" i="3" s="1"/>
  <c r="U602" i="3" l="1"/>
  <c r="Y601" i="3"/>
  <c r="T603" i="3"/>
  <c r="AG603" i="3" s="1"/>
  <c r="AH603" i="3" l="1"/>
  <c r="D603" i="3"/>
  <c r="G603" i="3" s="1"/>
  <c r="E603" i="3"/>
  <c r="H603" i="3" s="1"/>
  <c r="K603" i="3" s="1"/>
  <c r="AE603" i="3" s="1"/>
  <c r="F603" i="3" l="1"/>
  <c r="I603" i="3"/>
  <c r="J603" i="3"/>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D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M607" i="3"/>
  <c r="N607" i="3" s="1"/>
  <c r="AD608" i="3"/>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AD617" i="3"/>
  <c r="P617" i="3"/>
  <c r="Q617" i="3" s="1"/>
  <c r="R617" i="3" s="1"/>
  <c r="S617" i="3" s="1"/>
  <c r="AA617" i="3"/>
  <c r="U616" i="3" l="1"/>
  <c r="Y615" i="3"/>
  <c r="T617" i="3"/>
  <c r="AG617" i="3" s="1"/>
  <c r="D617" i="3" l="1"/>
  <c r="G617" i="3" s="1"/>
  <c r="E617" i="3"/>
  <c r="H617" i="3" s="1"/>
  <c r="K617" i="3" s="1"/>
  <c r="AE617" i="3" s="1"/>
  <c r="AH617" i="3"/>
  <c r="F617" i="3" l="1"/>
  <c r="I617" i="3"/>
  <c r="J617" i="3"/>
  <c r="M617" i="3"/>
  <c r="N617" i="3" s="1"/>
  <c r="V617" i="3"/>
  <c r="A618" i="3"/>
  <c r="B618" i="3" s="1"/>
  <c r="W617" i="3" l="1"/>
  <c r="L617" i="3"/>
  <c r="P618" i="3"/>
  <c r="Q618" i="3" s="1"/>
  <c r="R618" i="3" s="1"/>
  <c r="S618" i="3" s="1"/>
  <c r="AD618" i="3"/>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AD627" i="3"/>
  <c r="P627" i="3"/>
  <c r="Q627" i="3" s="1"/>
  <c r="R627" i="3" s="1"/>
  <c r="S627" i="3" s="1"/>
  <c r="AC627" i="3"/>
  <c r="AA627" i="3"/>
  <c r="L626" i="3" l="1"/>
  <c r="T627" i="3"/>
  <c r="AG627" i="3" l="1"/>
  <c r="U626" i="3"/>
  <c r="D627" i="3" s="1"/>
  <c r="AH627" i="3"/>
  <c r="Y625" i="3"/>
  <c r="G627" i="3" l="1"/>
  <c r="E627" i="3"/>
  <c r="H627" i="3" s="1"/>
  <c r="K627" i="3" l="1"/>
  <c r="AE627" i="3" s="1"/>
  <c r="I627" i="3"/>
  <c r="J627" i="3"/>
  <c r="M627" i="3"/>
  <c r="N627" i="3" s="1"/>
  <c r="F627" i="3"/>
  <c r="L627" i="3" l="1"/>
  <c r="V627" i="3"/>
  <c r="W627" i="3" s="1"/>
  <c r="A628" i="3"/>
  <c r="B628" i="3" s="1"/>
  <c r="Z628" i="3" l="1"/>
  <c r="AA628" i="3"/>
  <c r="P628" i="3"/>
  <c r="Q628" i="3" s="1"/>
  <c r="R628" i="3" s="1"/>
  <c r="S628" i="3" s="1"/>
  <c r="AC628" i="3"/>
  <c r="AD628" i="3"/>
  <c r="U627" i="3"/>
  <c r="Y626" i="3"/>
  <c r="T628" i="3" l="1"/>
  <c r="D628" i="3" l="1"/>
  <c r="E628" i="3"/>
  <c r="H628" i="3" s="1"/>
  <c r="AG628" i="3"/>
  <c r="AH628" i="3"/>
  <c r="F628" i="3" l="1"/>
  <c r="G628" i="3"/>
  <c r="K628" i="3"/>
  <c r="AE628" i="3" s="1"/>
  <c r="I628" i="3" l="1"/>
  <c r="J628" i="3"/>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D637" i="3"/>
  <c r="AA637" i="3"/>
  <c r="U636" i="3" l="1"/>
  <c r="Y635" i="3"/>
  <c r="T637" i="3"/>
  <c r="AG637" i="3" s="1"/>
  <c r="D637" i="3" l="1"/>
  <c r="AH637" i="3"/>
  <c r="E637" i="3"/>
  <c r="H637" i="3" s="1"/>
  <c r="F637" i="3" l="1"/>
  <c r="G637" i="3"/>
  <c r="K637" i="3"/>
  <c r="AE637" i="3" s="1"/>
  <c r="I637" i="3" l="1"/>
  <c r="J637" i="3"/>
  <c r="M637" i="3"/>
  <c r="N637" i="3" s="1"/>
  <c r="V637" i="3"/>
  <c r="A638" i="3"/>
  <c r="B638" i="3" s="1"/>
  <c r="W637" i="3" l="1"/>
  <c r="L637" i="3"/>
  <c r="P638" i="3"/>
  <c r="Q638" i="3" s="1"/>
  <c r="R638" i="3" s="1"/>
  <c r="S638" i="3" s="1"/>
  <c r="AD638" i="3"/>
  <c r="AC638" i="3"/>
  <c r="AA638" i="3"/>
  <c r="Z638" i="3"/>
  <c r="T638" i="3" l="1"/>
  <c r="AG638" i="3" s="1"/>
  <c r="U637" i="3"/>
  <c r="Y636" i="3"/>
  <c r="D638" i="3" l="1"/>
  <c r="G638" i="3" s="1"/>
  <c r="E638" i="3"/>
  <c r="H638" i="3" s="1"/>
  <c r="AH638" i="3"/>
  <c r="F638" i="3" l="1"/>
  <c r="I638" i="3"/>
  <c r="J638" i="3"/>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AD647" i="3"/>
  <c r="Z647" i="3"/>
  <c r="U646" i="3" l="1"/>
  <c r="Y645" i="3"/>
  <c r="T647" i="3"/>
  <c r="AG647" i="3" s="1"/>
  <c r="E647" i="3" l="1"/>
  <c r="H647" i="3" s="1"/>
  <c r="D647" i="3"/>
  <c r="AH647" i="3"/>
  <c r="F647" i="3" l="1"/>
  <c r="G647" i="3"/>
  <c r="K647" i="3"/>
  <c r="AE647" i="3" s="1"/>
  <c r="V647" i="3" l="1"/>
  <c r="A648" i="3"/>
  <c r="B648" i="3" s="1"/>
  <c r="I647" i="3"/>
  <c r="J647" i="3"/>
  <c r="M647" i="3"/>
  <c r="N647" i="3" s="1"/>
  <c r="W647" i="3" l="1"/>
  <c r="L647" i="3"/>
  <c r="AC648" i="3"/>
  <c r="AA648" i="3"/>
  <c r="P648" i="3"/>
  <c r="Q648" i="3" s="1"/>
  <c r="R648" i="3" s="1"/>
  <c r="S648" i="3" s="1"/>
  <c r="Z648" i="3"/>
  <c r="AD648" i="3"/>
  <c r="T648" i="3" l="1"/>
  <c r="AH648" i="3" s="1"/>
  <c r="U647" i="3"/>
  <c r="Y646" i="3"/>
  <c r="D648" i="3" l="1"/>
  <c r="AG648" i="3"/>
  <c r="E648" i="3"/>
  <c r="H648" i="3" s="1"/>
  <c r="F648" i="3" l="1"/>
  <c r="G648" i="3"/>
  <c r="K648" i="3"/>
  <c r="AE648" i="3" s="1"/>
  <c r="I648" i="3" l="1"/>
  <c r="J648" i="3"/>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AD657" i="3"/>
  <c r="P657" i="3"/>
  <c r="Q657" i="3" s="1"/>
  <c r="R657" i="3" s="1"/>
  <c r="S657" i="3" s="1"/>
  <c r="AA657" i="3"/>
  <c r="Z657" i="3"/>
  <c r="L656" i="3" l="1"/>
  <c r="T657" i="3"/>
  <c r="AH657" i="3" l="1"/>
  <c r="U656" i="3"/>
  <c r="E657" i="3" s="1"/>
  <c r="H657" i="3" s="1"/>
  <c r="AG657" i="3"/>
  <c r="Y655" i="3"/>
  <c r="D657" i="3" l="1"/>
  <c r="G657" i="3" s="1"/>
  <c r="K657" i="3"/>
  <c r="AE657" i="3" s="1"/>
  <c r="F657" i="3" l="1"/>
  <c r="I657" i="3"/>
  <c r="J657" i="3"/>
  <c r="M657" i="3"/>
  <c r="N657" i="3" s="1"/>
  <c r="V657" i="3"/>
  <c r="A658" i="3"/>
  <c r="B658" i="3" s="1"/>
  <c r="W657" i="3" l="1"/>
  <c r="L657" i="3"/>
  <c r="AC658" i="3"/>
  <c r="Z658" i="3"/>
  <c r="AD658" i="3"/>
  <c r="AA658" i="3"/>
  <c r="P658" i="3"/>
  <c r="Q658" i="3" s="1"/>
  <c r="R658" i="3" s="1"/>
  <c r="S658" i="3" s="1"/>
  <c r="U657" i="3" l="1"/>
  <c r="Y656" i="3"/>
  <c r="T658" i="3"/>
  <c r="AG658" i="3" s="1"/>
  <c r="E658" i="3" l="1"/>
  <c r="H658" i="3" s="1"/>
  <c r="D658" i="3"/>
  <c r="AH658" i="3"/>
  <c r="K658" i="3" l="1"/>
  <c r="AE658" i="3" s="1"/>
  <c r="F658" i="3"/>
  <c r="G658" i="3"/>
  <c r="I658" i="3" l="1"/>
  <c r="J658" i="3"/>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D667" i="3"/>
  <c r="AA667" i="3"/>
  <c r="U666" i="3" l="1"/>
  <c r="Y665" i="3"/>
  <c r="T667" i="3"/>
  <c r="AG667" i="3" s="1"/>
  <c r="D667" i="3" l="1"/>
  <c r="E667" i="3"/>
  <c r="H667" i="3" s="1"/>
  <c r="AH667" i="3"/>
  <c r="F667" i="3" l="1"/>
  <c r="G667" i="3"/>
  <c r="K667" i="3"/>
  <c r="AE667" i="3" s="1"/>
  <c r="I667" i="3" l="1"/>
  <c r="J667" i="3"/>
  <c r="M667" i="3"/>
  <c r="N667" i="3" s="1"/>
  <c r="V667" i="3"/>
  <c r="A668" i="3"/>
  <c r="B668" i="3" s="1"/>
  <c r="W667" i="3" l="1"/>
  <c r="L667" i="3"/>
  <c r="Z668" i="3"/>
  <c r="P668" i="3"/>
  <c r="Q668" i="3" s="1"/>
  <c r="R668" i="3" s="1"/>
  <c r="S668" i="3" s="1"/>
  <c r="AD668" i="3"/>
  <c r="AC668" i="3"/>
  <c r="AA668" i="3"/>
  <c r="T668" i="3" l="1"/>
  <c r="AH668" i="3" s="1"/>
  <c r="U667" i="3"/>
  <c r="Y666" i="3"/>
  <c r="D668" i="3" l="1"/>
  <c r="G668" i="3" s="1"/>
  <c r="AG668" i="3"/>
  <c r="E668" i="3"/>
  <c r="H668" i="3" s="1"/>
  <c r="F668" i="3" l="1"/>
  <c r="I668" i="3"/>
  <c r="J668" i="3"/>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D675" i="3"/>
  <c r="AA675" i="3"/>
  <c r="AC675" i="3"/>
  <c r="Z675" i="3"/>
  <c r="U674" i="3" l="1"/>
  <c r="Y673" i="3"/>
  <c r="T675" i="3"/>
  <c r="AH675" i="3" s="1"/>
  <c r="AG675" i="3" l="1"/>
  <c r="D675" i="3"/>
  <c r="E675" i="3"/>
  <c r="H675" i="3" s="1"/>
  <c r="F675" i="3" l="1"/>
  <c r="G675" i="3"/>
  <c r="K675" i="3"/>
  <c r="AE675" i="3" s="1"/>
  <c r="I675" i="3" l="1"/>
  <c r="J675" i="3"/>
  <c r="M675" i="3"/>
  <c r="N675" i="3" s="1"/>
  <c r="V675" i="3"/>
  <c r="A676" i="3"/>
  <c r="B676" i="3" s="1"/>
  <c r="W675" i="3" l="1"/>
  <c r="L675" i="3"/>
  <c r="AD676" i="3"/>
  <c r="AC676" i="3"/>
  <c r="P676" i="3"/>
  <c r="Q676" i="3" s="1"/>
  <c r="R676" i="3" s="1"/>
  <c r="S676" i="3" s="1"/>
  <c r="Z676" i="3"/>
  <c r="AA676" i="3"/>
  <c r="T676" i="3" l="1"/>
  <c r="U675" i="3"/>
  <c r="Y674" i="3"/>
  <c r="E676" i="3" l="1"/>
  <c r="H676" i="3" s="1"/>
  <c r="K676" i="3" s="1"/>
  <c r="AE676" i="3" s="1"/>
  <c r="AH676" i="3"/>
  <c r="D676" i="3"/>
  <c r="G676" i="3" s="1"/>
  <c r="AG676" i="3"/>
  <c r="F676" i="3" l="1"/>
  <c r="I676" i="3"/>
  <c r="J676" i="3"/>
  <c r="M676" i="3"/>
  <c r="N676" i="3" s="1"/>
  <c r="V676" i="3"/>
  <c r="A677" i="3"/>
  <c r="B677" i="3" s="1"/>
  <c r="W676" i="3" l="1"/>
  <c r="L676" i="3"/>
  <c r="AA677" i="3"/>
  <c r="AC677" i="3"/>
  <c r="Z677" i="3"/>
  <c r="AD677" i="3"/>
  <c r="P677" i="3"/>
  <c r="Q677" i="3" s="1"/>
  <c r="R677" i="3" s="1"/>
  <c r="S677" i="3" s="1"/>
  <c r="U676" i="3" l="1"/>
  <c r="Y675" i="3"/>
  <c r="T677" i="3"/>
  <c r="AG677" i="3" s="1"/>
  <c r="D677" i="3" l="1"/>
  <c r="G677" i="3" s="1"/>
  <c r="AH677" i="3"/>
  <c r="E677" i="3"/>
  <c r="H677" i="3" s="1"/>
  <c r="F677" i="3" l="1"/>
  <c r="I677" i="3"/>
  <c r="J677" i="3"/>
  <c r="M677" i="3"/>
  <c r="N677" i="3" s="1"/>
  <c r="K677" i="3"/>
  <c r="AE677" i="3" s="1"/>
  <c r="V677" i="3" l="1"/>
  <c r="W677" i="3" s="1"/>
  <c r="A678" i="3"/>
  <c r="B678" i="3" s="1"/>
  <c r="L677" i="3"/>
  <c r="U677" i="3" l="1"/>
  <c r="Y676" i="3"/>
  <c r="AD678" i="3"/>
  <c r="P678" i="3"/>
  <c r="Q678" i="3" s="1"/>
  <c r="R678" i="3" s="1"/>
  <c r="S678" i="3" s="1"/>
  <c r="Z678" i="3"/>
  <c r="AC678" i="3"/>
  <c r="AA678" i="3"/>
  <c r="T678" i="3" l="1"/>
  <c r="AH678" i="3" s="1"/>
  <c r="E678" i="3" l="1"/>
  <c r="H678" i="3" s="1"/>
  <c r="K678" i="3" s="1"/>
  <c r="AE678" i="3" s="1"/>
  <c r="D678" i="3"/>
  <c r="AG678" i="3"/>
  <c r="F678" i="3" l="1"/>
  <c r="G678" i="3"/>
  <c r="J678" i="3" s="1"/>
  <c r="V678" i="3"/>
  <c r="A679" i="3"/>
  <c r="B679" i="3" s="1"/>
  <c r="M678" i="3" l="1"/>
  <c r="N678" i="3" s="1"/>
  <c r="I678" i="3"/>
  <c r="W678" i="3" s="1"/>
  <c r="L678" i="3"/>
  <c r="P679" i="3"/>
  <c r="Q679" i="3" s="1"/>
  <c r="R679" i="3" s="1"/>
  <c r="S679" i="3" s="1"/>
  <c r="AA679" i="3"/>
  <c r="Z679" i="3"/>
  <c r="AD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AD680" i="3"/>
  <c r="I679" i="3"/>
  <c r="W679" i="3" s="1"/>
  <c r="J679" i="3"/>
  <c r="M679" i="3"/>
  <c r="N679" i="3" s="1"/>
  <c r="L679" i="3" l="1"/>
  <c r="T680" i="3"/>
  <c r="AH680" i="3" l="1"/>
  <c r="U679" i="3"/>
  <c r="E680" i="3" s="1"/>
  <c r="H680" i="3" s="1"/>
  <c r="AG680" i="3"/>
  <c r="Y678" i="3"/>
  <c r="D680" i="3" l="1"/>
  <c r="G680" i="3" s="1"/>
  <c r="K680" i="3"/>
  <c r="AE680" i="3" s="1"/>
  <c r="F680" i="3" l="1"/>
  <c r="I680" i="3"/>
  <c r="J680" i="3"/>
  <c r="M680" i="3"/>
  <c r="N680" i="3" s="1"/>
  <c r="V680" i="3"/>
  <c r="A681" i="3"/>
  <c r="B681" i="3" s="1"/>
  <c r="W680" i="3" l="1"/>
  <c r="L680" i="3"/>
  <c r="AD681"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AD682" i="3" l="1"/>
  <c r="Z682" i="3"/>
  <c r="P682" i="3"/>
  <c r="Q682" i="3" s="1"/>
  <c r="R682" i="3" s="1"/>
  <c r="S682" i="3" s="1"/>
  <c r="AC682" i="3"/>
  <c r="AA682" i="3"/>
  <c r="I681" i="3"/>
  <c r="W681" i="3" s="1"/>
  <c r="J681" i="3"/>
  <c r="M681" i="3"/>
  <c r="N681" i="3" s="1"/>
  <c r="L681" i="3" l="1"/>
  <c r="T682" i="3"/>
  <c r="U681" i="3" l="1"/>
  <c r="E682" i="3" s="1"/>
  <c r="H682" i="3" s="1"/>
  <c r="AG682" i="3"/>
  <c r="AH682" i="3"/>
  <c r="Y680" i="3"/>
  <c r="D682" i="3" l="1"/>
  <c r="G682" i="3" s="1"/>
  <c r="K682" i="3"/>
  <c r="AE682" i="3" s="1"/>
  <c r="F682" i="3" l="1"/>
  <c r="V682" i="3"/>
  <c r="A683" i="3"/>
  <c r="B683" i="3" s="1"/>
  <c r="I682" i="3"/>
  <c r="J682" i="3"/>
  <c r="M682" i="3"/>
  <c r="N682" i="3" s="1"/>
  <c r="W682" i="3" l="1"/>
  <c r="L682" i="3"/>
  <c r="P683" i="3"/>
  <c r="Q683" i="3" s="1"/>
  <c r="R683" i="3" s="1"/>
  <c r="S683" i="3" s="1"/>
  <c r="AC683" i="3"/>
  <c r="AD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D687" i="3"/>
  <c r="AA687" i="3"/>
  <c r="AC687" i="3"/>
  <c r="U686" i="3" l="1"/>
  <c r="Y685" i="3"/>
  <c r="T687" i="3"/>
  <c r="AG687" i="3" s="1"/>
  <c r="AH687" i="3" l="1"/>
  <c r="D687" i="3"/>
  <c r="G687" i="3" s="1"/>
  <c r="E687" i="3"/>
  <c r="H687" i="3" s="1"/>
  <c r="K687" i="3" s="1"/>
  <c r="AE687" i="3" s="1"/>
  <c r="F687" i="3" l="1"/>
  <c r="I687" i="3"/>
  <c r="J687" i="3"/>
  <c r="M687" i="3"/>
  <c r="N687" i="3" s="1"/>
  <c r="V687" i="3"/>
  <c r="A688" i="3"/>
  <c r="B688" i="3" s="1"/>
  <c r="W687" i="3" l="1"/>
  <c r="L687" i="3"/>
  <c r="AC688" i="3"/>
  <c r="AA688" i="3"/>
  <c r="AD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AD695"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M695" i="3"/>
  <c r="N695" i="3" s="1"/>
  <c r="AD696" i="3"/>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M696" i="3"/>
  <c r="N696" i="3" s="1"/>
  <c r="W696" i="3" l="1"/>
  <c r="AD697" i="3"/>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L697" i="3" s="1"/>
  <c r="AD698" i="3"/>
  <c r="AA698" i="3"/>
  <c r="Z698" i="3"/>
  <c r="AC698" i="3"/>
  <c r="P698" i="3"/>
  <c r="Q698" i="3" s="1"/>
  <c r="R698" i="3" s="1"/>
  <c r="S698" i="3" s="1"/>
  <c r="U697" i="3" l="1"/>
  <c r="Y696" i="3"/>
  <c r="T698" i="3"/>
  <c r="AG698" i="3" s="1"/>
  <c r="E698" i="3" l="1"/>
  <c r="H698" i="3" s="1"/>
  <c r="K698" i="3" s="1"/>
  <c r="AE698" i="3" s="1"/>
  <c r="AH698" i="3"/>
  <c r="D698" i="3"/>
  <c r="F698" i="3" l="1"/>
  <c r="G698" i="3"/>
  <c r="J698" i="3" s="1"/>
  <c r="V698" i="3"/>
  <c r="A699" i="3"/>
  <c r="B699" i="3" s="1"/>
  <c r="M698" i="3" l="1"/>
  <c r="N698" i="3" s="1"/>
  <c r="I698" i="3"/>
  <c r="W698" i="3" s="1"/>
  <c r="L698" i="3"/>
  <c r="Z699" i="3"/>
  <c r="P699" i="3"/>
  <c r="Q699" i="3" s="1"/>
  <c r="R699" i="3" s="1"/>
  <c r="S699" i="3" s="1"/>
  <c r="AA699" i="3"/>
  <c r="AD699" i="3"/>
  <c r="AC699" i="3"/>
  <c r="T699" i="3" l="1"/>
  <c r="U698" i="3"/>
  <c r="Y697" i="3"/>
  <c r="D699" i="3" l="1"/>
  <c r="G699" i="3" s="1"/>
  <c r="AG699" i="3"/>
  <c r="AH699" i="3"/>
  <c r="E699" i="3"/>
  <c r="H699" i="3" s="1"/>
  <c r="K699" i="3" l="1"/>
  <c r="AE699" i="3" s="1"/>
  <c r="I699" i="3"/>
  <c r="J699" i="3"/>
  <c r="M699" i="3"/>
  <c r="N699" i="3" s="1"/>
  <c r="F699" i="3"/>
  <c r="L699" i="3" l="1"/>
  <c r="V699" i="3"/>
  <c r="W699" i="3" s="1"/>
  <c r="A700" i="3"/>
  <c r="B700" i="3" s="1"/>
  <c r="U699" i="3" l="1"/>
  <c r="Y698" i="3"/>
  <c r="Z700" i="3"/>
  <c r="P700" i="3"/>
  <c r="Q700" i="3" s="1"/>
  <c r="R700" i="3" s="1"/>
  <c r="S700" i="3" s="1"/>
  <c r="AD700" i="3"/>
  <c r="AC700" i="3"/>
  <c r="AA700" i="3"/>
  <c r="T700" i="3" l="1"/>
  <c r="D700" i="3" s="1"/>
  <c r="AH700" i="3" l="1"/>
  <c r="AG700" i="3"/>
  <c r="E700" i="3"/>
  <c r="H700" i="3" s="1"/>
  <c r="K700" i="3" s="1"/>
  <c r="AE700" i="3" s="1"/>
  <c r="G700" i="3"/>
  <c r="F700" i="3" l="1"/>
  <c r="I700" i="3"/>
  <c r="J700" i="3"/>
  <c r="M700" i="3"/>
  <c r="N700" i="3" s="1"/>
  <c r="V700" i="3"/>
  <c r="A701" i="3"/>
  <c r="B701" i="3" s="1"/>
  <c r="W700" i="3" l="1"/>
  <c r="L700" i="3"/>
  <c r="AC701" i="3"/>
  <c r="AA701" i="3"/>
  <c r="Z701" i="3"/>
  <c r="P701" i="3"/>
  <c r="Q701" i="3" s="1"/>
  <c r="R701" i="3" s="1"/>
  <c r="S701" i="3" s="1"/>
  <c r="AD701" i="3"/>
  <c r="U700" i="3" l="1"/>
  <c r="Y699" i="3"/>
  <c r="T701" i="3"/>
  <c r="AG701" i="3" s="1"/>
  <c r="AH701" i="3" l="1"/>
  <c r="E701" i="3"/>
  <c r="H701" i="3" s="1"/>
  <c r="D701" i="3"/>
  <c r="F701" i="3" l="1"/>
  <c r="G701" i="3"/>
  <c r="K701" i="3"/>
  <c r="AE701" i="3" s="1"/>
  <c r="I701" i="3" l="1"/>
  <c r="J701" i="3"/>
  <c r="M701" i="3"/>
  <c r="N701" i="3" s="1"/>
  <c r="V701" i="3"/>
  <c r="A702" i="3"/>
  <c r="B702" i="3" s="1"/>
  <c r="W701" i="3" l="1"/>
  <c r="L701" i="3"/>
  <c r="AC702" i="3"/>
  <c r="AD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M702" i="3"/>
  <c r="N702" i="3" s="1"/>
  <c r="W702" i="3" l="1"/>
  <c r="L702" i="3"/>
  <c r="AC703" i="3"/>
  <c r="AD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AD707" i="3"/>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M707" i="3"/>
  <c r="N707" i="3" s="1"/>
  <c r="AD708" i="3"/>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AD717" i="3"/>
  <c r="Z717" i="3"/>
  <c r="AA717" i="3"/>
  <c r="U716" i="3" l="1"/>
  <c r="Y715" i="3"/>
  <c r="T717" i="3"/>
  <c r="AG717" i="3" s="1"/>
  <c r="E717" i="3" l="1"/>
  <c r="H717" i="3" s="1"/>
  <c r="K717" i="3" s="1"/>
  <c r="AE717" i="3" s="1"/>
  <c r="AH717" i="3"/>
  <c r="D717" i="3"/>
  <c r="V717" i="3" l="1"/>
  <c r="A718" i="3"/>
  <c r="B718" i="3" s="1"/>
  <c r="F717" i="3"/>
  <c r="G717" i="3"/>
  <c r="I717" i="3" l="1"/>
  <c r="W717" i="3" s="1"/>
  <c r="J717" i="3"/>
  <c r="M717" i="3"/>
  <c r="N717" i="3" s="1"/>
  <c r="P718" i="3"/>
  <c r="Q718" i="3" s="1"/>
  <c r="R718" i="3" s="1"/>
  <c r="S718" i="3" s="1"/>
  <c r="AC718" i="3"/>
  <c r="Z718" i="3"/>
  <c r="AD718" i="3"/>
  <c r="AA718" i="3"/>
  <c r="L717" i="3" l="1"/>
  <c r="T718" i="3"/>
  <c r="U717" i="3" l="1"/>
  <c r="E718" i="3" s="1"/>
  <c r="H718" i="3" s="1"/>
  <c r="AH718" i="3"/>
  <c r="AG718" i="3"/>
  <c r="Y716" i="3"/>
  <c r="K718" i="3" l="1"/>
  <c r="AE718" i="3" s="1"/>
  <c r="D718" i="3"/>
  <c r="V718" i="3" l="1"/>
  <c r="A719" i="3"/>
  <c r="B719" i="3" s="1"/>
  <c r="F718" i="3"/>
  <c r="G718" i="3"/>
  <c r="I718" i="3" l="1"/>
  <c r="W718" i="3" s="1"/>
  <c r="J718" i="3"/>
  <c r="M718" i="3"/>
  <c r="N718" i="3" s="1"/>
  <c r="AD719" i="3"/>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M719" i="3"/>
  <c r="N719" i="3" s="1"/>
  <c r="V719" i="3"/>
  <c r="A720" i="3"/>
  <c r="B720" i="3" s="1"/>
  <c r="W719" i="3" l="1"/>
  <c r="L719" i="3"/>
  <c r="P720" i="3"/>
  <c r="Q720" i="3" s="1"/>
  <c r="R720" i="3" s="1"/>
  <c r="S720" i="3" s="1"/>
  <c r="AA720" i="3"/>
  <c r="AC720" i="3"/>
  <c r="Z720" i="3"/>
  <c r="AD720" i="3"/>
  <c r="U719" i="3" l="1"/>
  <c r="Y718" i="3"/>
  <c r="T720" i="3"/>
  <c r="AG720" i="3" s="1"/>
  <c r="E720" i="3" l="1"/>
  <c r="H720" i="3" s="1"/>
  <c r="K720" i="3" s="1"/>
  <c r="AE720" i="3" s="1"/>
  <c r="D720" i="3"/>
  <c r="AH720" i="3"/>
  <c r="V720" i="3" l="1"/>
  <c r="A721" i="3"/>
  <c r="B721" i="3" s="1"/>
  <c r="F720" i="3"/>
  <c r="G720" i="3"/>
  <c r="I720" i="3" l="1"/>
  <c r="W720" i="3" s="1"/>
  <c r="J720" i="3"/>
  <c r="M720" i="3"/>
  <c r="N720" i="3" s="1"/>
  <c r="AD721" i="3"/>
  <c r="AA721" i="3"/>
  <c r="Z721" i="3"/>
  <c r="AC721" i="3"/>
  <c r="P721" i="3"/>
  <c r="Q721" i="3" s="1"/>
  <c r="R721" i="3" s="1"/>
  <c r="S721" i="3" s="1"/>
  <c r="T721" i="3" l="1"/>
  <c r="L720" i="3"/>
  <c r="AG721" i="3" l="1"/>
  <c r="U720" i="3"/>
  <c r="D721" i="3" s="1"/>
  <c r="AH721" i="3"/>
  <c r="Y719" i="3"/>
  <c r="G721" i="3" l="1"/>
  <c r="E721" i="3"/>
  <c r="H721" i="3" s="1"/>
  <c r="F721" i="3" l="1"/>
  <c r="I721" i="3"/>
  <c r="J721" i="3"/>
  <c r="M721" i="3"/>
  <c r="N721" i="3" s="1"/>
  <c r="K721" i="3"/>
  <c r="AE721" i="3" s="1"/>
  <c r="V721" i="3" l="1"/>
  <c r="W721" i="3" s="1"/>
  <c r="A722" i="3"/>
  <c r="B722" i="3" s="1"/>
  <c r="L721" i="3"/>
  <c r="U721" i="3" l="1"/>
  <c r="Y720" i="3"/>
  <c r="AA722" i="3"/>
  <c r="AC722" i="3"/>
  <c r="P722" i="3"/>
  <c r="Q722" i="3" s="1"/>
  <c r="R722" i="3" s="1"/>
  <c r="S722" i="3" s="1"/>
  <c r="Z722" i="3"/>
  <c r="AD722" i="3"/>
  <c r="T722" i="3" l="1"/>
  <c r="AH722" i="3" s="1"/>
  <c r="E722" i="3" l="1"/>
  <c r="H722" i="3" s="1"/>
  <c r="K722" i="3" s="1"/>
  <c r="AE722" i="3" s="1"/>
  <c r="D722" i="3"/>
  <c r="AG722" i="3"/>
  <c r="V722" i="3" l="1"/>
  <c r="A723" i="3"/>
  <c r="B723" i="3" s="1"/>
  <c r="F722" i="3"/>
  <c r="G722" i="3"/>
  <c r="I722" i="3" l="1"/>
  <c r="W722" i="3" s="1"/>
  <c r="J722" i="3"/>
  <c r="M722" i="3"/>
  <c r="N722" i="3" s="1"/>
  <c r="Z723" i="3"/>
  <c r="AA723" i="3"/>
  <c r="AC723" i="3"/>
  <c r="P723" i="3"/>
  <c r="Q723" i="3" s="1"/>
  <c r="R723" i="3" s="1"/>
  <c r="S723" i="3" s="1"/>
  <c r="AD723" i="3"/>
  <c r="T723" i="3" l="1"/>
  <c r="L722" i="3"/>
  <c r="U722" i="3" l="1"/>
  <c r="E723" i="3" s="1"/>
  <c r="H723" i="3" s="1"/>
  <c r="AG723" i="3"/>
  <c r="AH723" i="3"/>
  <c r="Y721" i="3"/>
  <c r="D723" i="3" l="1"/>
  <c r="G723" i="3" s="1"/>
  <c r="K723" i="3"/>
  <c r="AE723" i="3" s="1"/>
  <c r="F723" i="3" l="1"/>
  <c r="V723" i="3"/>
  <c r="A724" i="3"/>
  <c r="B724" i="3" s="1"/>
  <c r="I723" i="3"/>
  <c r="J723" i="3"/>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AD725" i="3"/>
  <c r="U724" i="3" l="1"/>
  <c r="Y723" i="3"/>
  <c r="T725" i="3"/>
  <c r="AG725" i="3" s="1"/>
  <c r="AH725" i="3" l="1"/>
  <c r="D725" i="3"/>
  <c r="G725" i="3" s="1"/>
  <c r="E725" i="3"/>
  <c r="H725" i="3" s="1"/>
  <c r="F725" i="3" l="1"/>
  <c r="I725" i="3"/>
  <c r="J725" i="3"/>
  <c r="M725" i="3"/>
  <c r="N725" i="3" s="1"/>
  <c r="K725" i="3"/>
  <c r="AE725" i="3" s="1"/>
  <c r="V725" i="3" l="1"/>
  <c r="W725" i="3" s="1"/>
  <c r="A726" i="3"/>
  <c r="B726" i="3" s="1"/>
  <c r="L725" i="3"/>
  <c r="U725" i="3" l="1"/>
  <c r="Y724" i="3"/>
  <c r="Z726" i="3"/>
  <c r="P726" i="3"/>
  <c r="Q726" i="3" s="1"/>
  <c r="R726" i="3" s="1"/>
  <c r="S726" i="3" s="1"/>
  <c r="AA726" i="3"/>
  <c r="AD726" i="3"/>
  <c r="AC726" i="3"/>
  <c r="T726" i="3" l="1"/>
  <c r="AG726" i="3" s="1"/>
  <c r="D726" i="3" l="1"/>
  <c r="G726" i="3" s="1"/>
  <c r="E726" i="3"/>
  <c r="H726" i="3" s="1"/>
  <c r="K726" i="3" s="1"/>
  <c r="AE726" i="3" s="1"/>
  <c r="AH726" i="3"/>
  <c r="F726" i="3" l="1"/>
  <c r="I726" i="3"/>
  <c r="J726" i="3"/>
  <c r="M726" i="3"/>
  <c r="N726" i="3" s="1"/>
  <c r="V726" i="3"/>
  <c r="A727" i="3"/>
  <c r="B727" i="3" s="1"/>
  <c r="W726" i="3" l="1"/>
  <c r="L726" i="3"/>
  <c r="P727" i="3"/>
  <c r="Q727" i="3" s="1"/>
  <c r="R727" i="3" s="1"/>
  <c r="S727" i="3" s="1"/>
  <c r="Z727" i="3"/>
  <c r="AA727" i="3"/>
  <c r="AC727" i="3"/>
  <c r="AD727" i="3"/>
  <c r="U726" i="3" l="1"/>
  <c r="Y725" i="3"/>
  <c r="T727" i="3"/>
  <c r="AH727" i="3" s="1"/>
  <c r="E727" i="3" l="1"/>
  <c r="H727" i="3" s="1"/>
  <c r="K727" i="3" s="1"/>
  <c r="AE727" i="3" s="1"/>
  <c r="D727" i="3"/>
  <c r="AG727" i="3"/>
  <c r="F727" i="3" l="1"/>
  <c r="G727" i="3"/>
  <c r="M727" i="3" s="1"/>
  <c r="N727" i="3" s="1"/>
  <c r="V727" i="3"/>
  <c r="A728" i="3"/>
  <c r="B728" i="3" s="1"/>
  <c r="I727" i="3" l="1"/>
  <c r="W727" i="3" s="1"/>
  <c r="J727" i="3"/>
  <c r="L727" i="3" s="1"/>
  <c r="AA728" i="3"/>
  <c r="P728" i="3"/>
  <c r="Q728" i="3" s="1"/>
  <c r="R728" i="3" s="1"/>
  <c r="S728" i="3" s="1"/>
  <c r="AC728" i="3"/>
  <c r="Z728" i="3"/>
  <c r="AD728" i="3"/>
  <c r="U727" i="3" l="1"/>
  <c r="Y726" i="3"/>
  <c r="T728" i="3"/>
  <c r="D728" i="3" l="1"/>
  <c r="G728" i="3" s="1"/>
  <c r="AG728" i="3"/>
  <c r="E728" i="3"/>
  <c r="H728" i="3" s="1"/>
  <c r="AH728" i="3"/>
  <c r="F728" i="3" l="1"/>
  <c r="I728" i="3"/>
  <c r="J728" i="3"/>
  <c r="M728" i="3"/>
  <c r="N728" i="3" s="1"/>
  <c r="K728" i="3"/>
  <c r="AE728" i="3" s="1"/>
  <c r="V728" i="3" l="1"/>
  <c r="W728" i="3" s="1"/>
  <c r="A729" i="3"/>
  <c r="B729" i="3" s="1"/>
  <c r="L728" i="3"/>
  <c r="U728" i="3" l="1"/>
  <c r="Y727" i="3"/>
  <c r="P729" i="3"/>
  <c r="Q729" i="3" s="1"/>
  <c r="R729" i="3" s="1"/>
  <c r="S729" i="3" s="1"/>
  <c r="AA729" i="3"/>
  <c r="AD729" i="3"/>
  <c r="AC729" i="3"/>
  <c r="Z729" i="3"/>
  <c r="T729" i="3" l="1"/>
  <c r="E729" i="3" s="1"/>
  <c r="H729" i="3" s="1"/>
  <c r="AH729" i="3" l="1"/>
  <c r="D729" i="3"/>
  <c r="F729" i="3" s="1"/>
  <c r="AG729" i="3"/>
  <c r="K729" i="3"/>
  <c r="AE729" i="3" s="1"/>
  <c r="G729" i="3" l="1"/>
  <c r="I729" i="3" s="1"/>
  <c r="V729" i="3"/>
  <c r="A730" i="3"/>
  <c r="B730" i="3" s="1"/>
  <c r="W729" i="3" l="1"/>
  <c r="J729" i="3"/>
  <c r="L729" i="3" s="1"/>
  <c r="M729" i="3"/>
  <c r="N729" i="3" s="1"/>
  <c r="AA730" i="3"/>
  <c r="Z730" i="3"/>
  <c r="AD730" i="3"/>
  <c r="P730" i="3"/>
  <c r="Q730" i="3" s="1"/>
  <c r="R730" i="3" s="1"/>
  <c r="S730" i="3" s="1"/>
  <c r="AC730" i="3"/>
  <c r="U729" i="3" l="1"/>
  <c r="Y728" i="3"/>
  <c r="T730" i="3"/>
  <c r="AG730" i="3" s="1"/>
  <c r="D730" i="3" l="1"/>
  <c r="E730" i="3"/>
  <c r="H730" i="3" s="1"/>
  <c r="AH730" i="3"/>
  <c r="K730" i="3" l="1"/>
  <c r="AE730" i="3" s="1"/>
  <c r="F730" i="3"/>
  <c r="G730" i="3"/>
  <c r="I730" i="3" l="1"/>
  <c r="J730" i="3"/>
  <c r="M730" i="3"/>
  <c r="N730" i="3" s="1"/>
  <c r="V730" i="3"/>
  <c r="A731" i="3"/>
  <c r="B731" i="3" s="1"/>
  <c r="W730" i="3" l="1"/>
  <c r="L730" i="3"/>
  <c r="P731" i="3"/>
  <c r="Q731" i="3" s="1"/>
  <c r="R731" i="3" s="1"/>
  <c r="S731" i="3" s="1"/>
  <c r="Z731" i="3"/>
  <c r="AA731" i="3"/>
  <c r="AD731" i="3"/>
  <c r="AC731" i="3"/>
  <c r="U730" i="3" l="1"/>
  <c r="Y729" i="3"/>
  <c r="T731" i="3"/>
  <c r="AG731" i="3" s="1"/>
  <c r="E731" i="3" l="1"/>
  <c r="H731" i="3" s="1"/>
  <c r="K731" i="3" s="1"/>
  <c r="AE731" i="3" s="1"/>
  <c r="AH731" i="3"/>
  <c r="D731" i="3"/>
  <c r="F731" i="3" l="1"/>
  <c r="G731" i="3"/>
  <c r="J731" i="3" s="1"/>
  <c r="V731" i="3"/>
  <c r="A732" i="3"/>
  <c r="B732" i="3" s="1"/>
  <c r="M731" i="3" l="1"/>
  <c r="N731" i="3" s="1"/>
  <c r="I731" i="3"/>
  <c r="W731" i="3" s="1"/>
  <c r="L731" i="3"/>
  <c r="AC732" i="3"/>
  <c r="Z732" i="3"/>
  <c r="AD732" i="3"/>
  <c r="AA732" i="3"/>
  <c r="P732" i="3"/>
  <c r="Q732" i="3" s="1"/>
  <c r="R732" i="3" s="1"/>
  <c r="S732" i="3" s="1"/>
  <c r="U731" i="3" l="1"/>
  <c r="Y730" i="3"/>
  <c r="T732" i="3"/>
  <c r="E732" i="3" l="1"/>
  <c r="H732" i="3" s="1"/>
  <c r="K732" i="3" s="1"/>
  <c r="AE732" i="3" s="1"/>
  <c r="D732" i="3"/>
  <c r="G732" i="3" s="1"/>
  <c r="AH732" i="3"/>
  <c r="AG732" i="3"/>
  <c r="F732" i="3" l="1"/>
  <c r="I732" i="3"/>
  <c r="J732" i="3"/>
  <c r="M732" i="3"/>
  <c r="N732" i="3" s="1"/>
  <c r="V732" i="3"/>
  <c r="A733" i="3"/>
  <c r="B733" i="3" s="1"/>
  <c r="W732" i="3" l="1"/>
  <c r="L732" i="3"/>
  <c r="AC733" i="3"/>
  <c r="P733" i="3"/>
  <c r="Q733" i="3" s="1"/>
  <c r="R733" i="3" s="1"/>
  <c r="S733" i="3" s="1"/>
  <c r="AA733" i="3"/>
  <c r="Z733" i="3"/>
  <c r="AD733" i="3"/>
  <c r="T733" i="3" l="1"/>
  <c r="AH733" i="3" s="1"/>
  <c r="U732" i="3"/>
  <c r="Y731" i="3"/>
  <c r="D733" i="3" l="1"/>
  <c r="G733" i="3" s="1"/>
  <c r="E733" i="3"/>
  <c r="H733" i="3" s="1"/>
  <c r="AG733" i="3"/>
  <c r="F733" i="3" l="1"/>
  <c r="I733" i="3"/>
  <c r="J733" i="3"/>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AD735" i="3"/>
  <c r="L734" i="3" l="1"/>
  <c r="Y733" i="3" s="1"/>
  <c r="AD734" i="3"/>
  <c r="T735" i="3"/>
  <c r="U734" i="3" l="1"/>
  <c r="E735" i="3" s="1"/>
  <c r="H735" i="3" s="1"/>
  <c r="AH735" i="3"/>
  <c r="AG735" i="3"/>
  <c r="D735" i="3" l="1"/>
  <c r="G735" i="3" s="1"/>
  <c r="M735" i="3" s="1"/>
  <c r="N735" i="3" s="1"/>
  <c r="K735" i="3"/>
  <c r="AE735" i="3" s="1"/>
  <c r="F735" i="3" l="1"/>
  <c r="I735" i="3"/>
  <c r="J735" i="3"/>
  <c r="L735" i="3" s="1"/>
  <c r="V735" i="3"/>
  <c r="A736" i="3"/>
  <c r="B736" i="3" s="1"/>
  <c r="W735" i="3" l="1"/>
  <c r="U735" i="3"/>
  <c r="Y734" i="3"/>
  <c r="Z736" i="3"/>
  <c r="P736" i="3"/>
  <c r="Q736" i="3" s="1"/>
  <c r="R736" i="3" s="1"/>
  <c r="S736" i="3" s="1"/>
  <c r="AA736" i="3"/>
  <c r="AD736" i="3"/>
  <c r="AC736" i="3"/>
  <c r="T736" i="3" l="1"/>
  <c r="E736" i="3" s="1"/>
  <c r="H736" i="3" s="1"/>
  <c r="AH736" i="3" l="1"/>
  <c r="D736" i="3"/>
  <c r="F736" i="3" s="1"/>
  <c r="K736" i="3"/>
  <c r="AE736" i="3" s="1"/>
  <c r="AG736" i="3"/>
  <c r="G736" i="3" l="1"/>
  <c r="M736" i="3" s="1"/>
  <c r="N736" i="3" s="1"/>
  <c r="V736" i="3"/>
  <c r="A737" i="3"/>
  <c r="B737" i="3" s="1"/>
  <c r="I736" i="3" l="1"/>
  <c r="W736" i="3" s="1"/>
  <c r="J736" i="3"/>
  <c r="L736" i="3" s="1"/>
  <c r="AC737" i="3"/>
  <c r="P737" i="3"/>
  <c r="Q737" i="3" s="1"/>
  <c r="R737" i="3" s="1"/>
  <c r="S737" i="3" s="1"/>
  <c r="AD737" i="3"/>
  <c r="Z737" i="3"/>
  <c r="AA737" i="3"/>
  <c r="U736" i="3" l="1"/>
  <c r="Y735" i="3"/>
  <c r="T737" i="3"/>
  <c r="AH737" i="3" s="1"/>
  <c r="D737" i="3" l="1"/>
  <c r="E737" i="3"/>
  <c r="H737" i="3" s="1"/>
  <c r="AG737" i="3"/>
  <c r="F737" i="3" l="1"/>
  <c r="G737" i="3"/>
  <c r="K737" i="3"/>
  <c r="AE737" i="3" s="1"/>
  <c r="V737" i="3" l="1"/>
  <c r="A738" i="3"/>
  <c r="B738" i="3" s="1"/>
  <c r="I737" i="3"/>
  <c r="J737" i="3"/>
  <c r="M737" i="3"/>
  <c r="N737" i="3" s="1"/>
  <c r="W737" i="3" l="1"/>
  <c r="L737" i="3"/>
  <c r="AA738" i="3"/>
  <c r="P738" i="3"/>
  <c r="Q738" i="3" s="1"/>
  <c r="R738" i="3" s="1"/>
  <c r="S738" i="3" s="1"/>
  <c r="AC738" i="3"/>
  <c r="Z738" i="3"/>
  <c r="AD738" i="3"/>
  <c r="U737" i="3" l="1"/>
  <c r="Y736" i="3"/>
  <c r="T738" i="3"/>
  <c r="E738" i="3" l="1"/>
  <c r="H738" i="3" s="1"/>
  <c r="K738" i="3" s="1"/>
  <c r="AE738" i="3" s="1"/>
  <c r="D738" i="3"/>
  <c r="AG738" i="3"/>
  <c r="AH738" i="3"/>
  <c r="V738" i="3" l="1"/>
  <c r="A739" i="3"/>
  <c r="B739" i="3" s="1"/>
  <c r="F738" i="3"/>
  <c r="G738" i="3"/>
  <c r="I738" i="3" l="1"/>
  <c r="W738" i="3" s="1"/>
  <c r="J738" i="3"/>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AD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L745" i="3" s="1"/>
  <c r="Z746" i="3"/>
  <c r="AD746" i="3"/>
  <c r="P746" i="3"/>
  <c r="Q746" i="3" s="1"/>
  <c r="R746" i="3" s="1"/>
  <c r="S746" i="3" s="1"/>
  <c r="AA746" i="3"/>
  <c r="AC746" i="3"/>
  <c r="U745" i="3" l="1"/>
  <c r="Y744" i="3"/>
  <c r="T746" i="3"/>
  <c r="D746" i="3" l="1"/>
  <c r="G746" i="3" s="1"/>
  <c r="AG746" i="3"/>
  <c r="E746" i="3"/>
  <c r="H746" i="3" s="1"/>
  <c r="AH746" i="3"/>
  <c r="F746" i="3" l="1"/>
  <c r="I746" i="3"/>
  <c r="J746" i="3"/>
  <c r="M746" i="3"/>
  <c r="N746" i="3" s="1"/>
  <c r="K746" i="3"/>
  <c r="AE746" i="3" s="1"/>
  <c r="V746" i="3" l="1"/>
  <c r="W746" i="3" s="1"/>
  <c r="A747" i="3"/>
  <c r="B747" i="3" s="1"/>
  <c r="L746" i="3"/>
  <c r="U746" i="3" l="1"/>
  <c r="Y745" i="3"/>
  <c r="AA747" i="3"/>
  <c r="AD747" i="3"/>
  <c r="Z747" i="3"/>
  <c r="AC747" i="3"/>
  <c r="P747" i="3"/>
  <c r="Q747" i="3" s="1"/>
  <c r="R747" i="3" s="1"/>
  <c r="S747" i="3" s="1"/>
  <c r="T747" i="3" l="1"/>
  <c r="D747" i="3" s="1"/>
  <c r="AG747" i="3" l="1"/>
  <c r="E747" i="3"/>
  <c r="H747" i="3" s="1"/>
  <c r="K747" i="3" s="1"/>
  <c r="AE747" i="3" s="1"/>
  <c r="AH747" i="3"/>
  <c r="G747" i="3"/>
  <c r="F747" i="3" l="1"/>
  <c r="I747" i="3"/>
  <c r="J747" i="3"/>
  <c r="M747" i="3"/>
  <c r="N747" i="3" s="1"/>
  <c r="V747" i="3"/>
  <c r="A748" i="3"/>
  <c r="B748" i="3" s="1"/>
  <c r="W747" i="3" l="1"/>
  <c r="L747" i="3"/>
  <c r="AC748" i="3"/>
  <c r="P748" i="3"/>
  <c r="Q748" i="3" s="1"/>
  <c r="R748" i="3" s="1"/>
  <c r="S748" i="3" s="1"/>
  <c r="AD748" i="3"/>
  <c r="Z748" i="3"/>
  <c r="AA748" i="3"/>
  <c r="U747" i="3" l="1"/>
  <c r="Y746" i="3"/>
  <c r="T748" i="3"/>
  <c r="E748" i="3" l="1"/>
  <c r="H748" i="3" s="1"/>
  <c r="K748" i="3" s="1"/>
  <c r="AE748" i="3" s="1"/>
  <c r="D748" i="3"/>
  <c r="AH748" i="3"/>
  <c r="AG748" i="3"/>
  <c r="V748" i="3" l="1"/>
  <c r="A749" i="3"/>
  <c r="B749" i="3" s="1"/>
  <c r="F748" i="3"/>
  <c r="G748" i="3"/>
  <c r="I748" i="3" l="1"/>
  <c r="W748" i="3" s="1"/>
  <c r="J748" i="3"/>
  <c r="M748" i="3"/>
  <c r="N748" i="3" s="1"/>
  <c r="AA749" i="3"/>
  <c r="Z749" i="3"/>
  <c r="P749" i="3"/>
  <c r="Q749" i="3" s="1"/>
  <c r="R749" i="3" s="1"/>
  <c r="S749" i="3" s="1"/>
  <c r="AC749" i="3"/>
  <c r="AD749" i="3"/>
  <c r="T749" i="3" l="1"/>
  <c r="L748" i="3"/>
  <c r="U748" i="3" l="1"/>
  <c r="E749" i="3" s="1"/>
  <c r="H749" i="3" s="1"/>
  <c r="AG749" i="3"/>
  <c r="AH749" i="3"/>
  <c r="Y747" i="3"/>
  <c r="K749" i="3" l="1"/>
  <c r="AE749" i="3" s="1"/>
  <c r="D749" i="3"/>
  <c r="V749" i="3" l="1"/>
  <c r="A750" i="3"/>
  <c r="B750" i="3" s="1"/>
  <c r="F749" i="3"/>
  <c r="G749" i="3"/>
  <c r="I749" i="3" l="1"/>
  <c r="W749" i="3" s="1"/>
  <c r="J749" i="3"/>
  <c r="M749" i="3"/>
  <c r="N749" i="3" s="1"/>
  <c r="AA750" i="3"/>
  <c r="AC750" i="3"/>
  <c r="Z750" i="3"/>
  <c r="AD750" i="3"/>
  <c r="P750" i="3"/>
  <c r="Q750" i="3" s="1"/>
  <c r="R750" i="3" s="1"/>
  <c r="S750" i="3" s="1"/>
  <c r="T750" i="3" l="1"/>
  <c r="L749" i="3"/>
  <c r="AH750" i="3" l="1"/>
  <c r="AG750" i="3"/>
  <c r="U749" i="3"/>
  <c r="D750" i="3" s="1"/>
  <c r="Y748" i="3"/>
  <c r="G750" i="3" l="1"/>
  <c r="E750" i="3"/>
  <c r="H750" i="3" s="1"/>
  <c r="F750" i="3" l="1"/>
  <c r="I750" i="3"/>
  <c r="J750" i="3"/>
  <c r="M750" i="3"/>
  <c r="N750" i="3" s="1"/>
  <c r="K750" i="3"/>
  <c r="AE750" i="3" s="1"/>
  <c r="V750" i="3" l="1"/>
  <c r="W750" i="3" s="1"/>
  <c r="A751" i="3"/>
  <c r="B751" i="3" s="1"/>
  <c r="L750" i="3"/>
  <c r="U750" i="3" l="1"/>
  <c r="Y749" i="3"/>
  <c r="P751" i="3"/>
  <c r="Q751" i="3" s="1"/>
  <c r="R751" i="3" s="1"/>
  <c r="S751" i="3" s="1"/>
  <c r="Z751" i="3"/>
  <c r="AA751" i="3"/>
  <c r="AC751" i="3"/>
  <c r="AD751" i="3"/>
  <c r="T751" i="3" l="1"/>
  <c r="AH751" i="3" s="1"/>
  <c r="E751" i="3" l="1"/>
  <c r="H751" i="3" s="1"/>
  <c r="K751" i="3" s="1"/>
  <c r="AE751" i="3" s="1"/>
  <c r="AG751" i="3"/>
  <c r="D751" i="3"/>
  <c r="F751" i="3" l="1"/>
  <c r="G751" i="3"/>
  <c r="V751" i="3"/>
  <c r="A752" i="3"/>
  <c r="B752" i="3" s="1"/>
  <c r="AA752" i="3" l="1"/>
  <c r="AD752" i="3"/>
  <c r="Z752" i="3"/>
  <c r="AC752" i="3"/>
  <c r="P752" i="3"/>
  <c r="Q752" i="3" s="1"/>
  <c r="R752" i="3" s="1"/>
  <c r="S752" i="3" s="1"/>
  <c r="I751" i="3"/>
  <c r="W751" i="3" s="1"/>
  <c r="J751" i="3"/>
  <c r="M751" i="3"/>
  <c r="N751" i="3" s="1"/>
  <c r="L751" i="3" l="1"/>
  <c r="T752" i="3"/>
  <c r="U751" i="3" l="1"/>
  <c r="E752" i="3" s="1"/>
  <c r="H752" i="3" s="1"/>
  <c r="AG752" i="3"/>
  <c r="AH752" i="3"/>
  <c r="Y750" i="3"/>
  <c r="K752" i="3" l="1"/>
  <c r="AE752" i="3" s="1"/>
  <c r="D752" i="3"/>
  <c r="V752" i="3" l="1"/>
  <c r="A753" i="3"/>
  <c r="B753" i="3" s="1"/>
  <c r="F752" i="3"/>
  <c r="G752" i="3"/>
  <c r="I752" i="3" l="1"/>
  <c r="W752" i="3" s="1"/>
  <c r="J752" i="3"/>
  <c r="M752" i="3"/>
  <c r="N752" i="3" s="1"/>
  <c r="AD753" i="3"/>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D755"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AD756" i="3"/>
  <c r="I755" i="3"/>
  <c r="W755" i="3" s="1"/>
  <c r="J755" i="3"/>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L756" i="3" s="1"/>
  <c r="AD757" i="3"/>
  <c r="AC757" i="3"/>
  <c r="P757" i="3"/>
  <c r="Q757" i="3" s="1"/>
  <c r="R757" i="3" s="1"/>
  <c r="S757" i="3" s="1"/>
  <c r="Z757" i="3"/>
  <c r="AA757" i="3"/>
  <c r="T757" i="3" l="1"/>
  <c r="U756" i="3"/>
  <c r="Y755" i="3"/>
  <c r="E757" i="3" l="1"/>
  <c r="H757" i="3" s="1"/>
  <c r="K757" i="3" s="1"/>
  <c r="AE757" i="3" s="1"/>
  <c r="AH757" i="3"/>
  <c r="D757" i="3"/>
  <c r="AG757" i="3"/>
  <c r="V757" i="3" l="1"/>
  <c r="A758" i="3"/>
  <c r="B758" i="3" s="1"/>
  <c r="F757" i="3"/>
  <c r="G757" i="3"/>
  <c r="I757" i="3" l="1"/>
  <c r="W757" i="3" s="1"/>
  <c r="J757" i="3"/>
  <c r="M757" i="3"/>
  <c r="N757" i="3" s="1"/>
  <c r="AA758" i="3"/>
  <c r="Z758" i="3"/>
  <c r="AD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M758" i="3"/>
  <c r="N758" i="3" s="1"/>
  <c r="L758" i="3" l="1"/>
  <c r="W758" i="3"/>
  <c r="AD759" i="3"/>
  <c r="P759" i="3"/>
  <c r="Q759" i="3" s="1"/>
  <c r="R759" i="3" s="1"/>
  <c r="S759" i="3" s="1"/>
  <c r="Z759" i="3"/>
  <c r="AA759" i="3"/>
  <c r="AC759" i="3"/>
  <c r="U758" i="3" l="1"/>
  <c r="Y757" i="3"/>
  <c r="T759" i="3"/>
  <c r="D759" i="3" l="1"/>
  <c r="G759" i="3" s="1"/>
  <c r="AG759" i="3"/>
  <c r="E759" i="3"/>
  <c r="H759" i="3" s="1"/>
  <c r="AH759" i="3"/>
  <c r="F759" i="3" l="1"/>
  <c r="I759" i="3"/>
  <c r="J759" i="3"/>
  <c r="M759" i="3"/>
  <c r="N759" i="3" s="1"/>
  <c r="K759" i="3"/>
  <c r="AE759" i="3" s="1"/>
  <c r="V759" i="3" l="1"/>
  <c r="W759" i="3" s="1"/>
  <c r="A760" i="3"/>
  <c r="B760" i="3" s="1"/>
  <c r="L759" i="3"/>
  <c r="U759" i="3" l="1"/>
  <c r="Y758" i="3"/>
  <c r="AA760" i="3"/>
  <c r="AC760" i="3"/>
  <c r="Z760" i="3"/>
  <c r="P760" i="3"/>
  <c r="Q760" i="3" s="1"/>
  <c r="R760" i="3" s="1"/>
  <c r="S760" i="3" s="1"/>
  <c r="AD760" i="3"/>
  <c r="T760" i="3" l="1"/>
  <c r="E760" i="3" s="1"/>
  <c r="H760" i="3" s="1"/>
  <c r="AH760" i="3" l="1"/>
  <c r="AG760" i="3"/>
  <c r="D760" i="3"/>
  <c r="G760" i="3" s="1"/>
  <c r="K760" i="3"/>
  <c r="AE760" i="3" s="1"/>
  <c r="F760" i="3" l="1"/>
  <c r="I760" i="3"/>
  <c r="J760" i="3"/>
  <c r="M760" i="3"/>
  <c r="N760" i="3" s="1"/>
  <c r="V760" i="3"/>
  <c r="A761" i="3"/>
  <c r="B761" i="3" s="1"/>
  <c r="W760" i="3" l="1"/>
  <c r="L760" i="3"/>
  <c r="P761" i="3"/>
  <c r="Q761" i="3" s="1"/>
  <c r="R761" i="3" s="1"/>
  <c r="S761" i="3" s="1"/>
  <c r="Z761" i="3"/>
  <c r="AA761" i="3"/>
  <c r="AD761" i="3"/>
  <c r="AC761" i="3"/>
  <c r="T761" i="3" l="1"/>
  <c r="U760" i="3"/>
  <c r="Y759" i="3"/>
  <c r="D761" i="3" l="1"/>
  <c r="G761" i="3" s="1"/>
  <c r="AG761" i="3"/>
  <c r="AH761" i="3"/>
  <c r="E761" i="3"/>
  <c r="H761" i="3" s="1"/>
  <c r="F761" i="3" l="1"/>
  <c r="I761" i="3"/>
  <c r="J761" i="3"/>
  <c r="M761" i="3"/>
  <c r="N761" i="3" s="1"/>
  <c r="K761" i="3"/>
  <c r="AE761" i="3" s="1"/>
  <c r="V761" i="3" l="1"/>
  <c r="W761" i="3" s="1"/>
  <c r="A762" i="3"/>
  <c r="B762" i="3" s="1"/>
  <c r="L761" i="3"/>
  <c r="U761" i="3" l="1"/>
  <c r="Y760" i="3"/>
  <c r="AA762" i="3"/>
  <c r="Z762" i="3"/>
  <c r="AC762" i="3"/>
  <c r="P762" i="3"/>
  <c r="Q762" i="3" s="1"/>
  <c r="R762" i="3" s="1"/>
  <c r="S762" i="3" s="1"/>
  <c r="AD762" i="3"/>
  <c r="T762" i="3" l="1"/>
  <c r="D762" i="3" s="1"/>
  <c r="E762" i="3" l="1"/>
  <c r="H762" i="3" s="1"/>
  <c r="K762" i="3" s="1"/>
  <c r="AE762" i="3" s="1"/>
  <c r="AH762" i="3"/>
  <c r="AG762" i="3"/>
  <c r="G762" i="3"/>
  <c r="F762" i="3" l="1"/>
  <c r="I762" i="3"/>
  <c r="J762" i="3"/>
  <c r="M762" i="3"/>
  <c r="N762" i="3" s="1"/>
  <c r="V762" i="3"/>
  <c r="A763" i="3"/>
  <c r="B763" i="3" s="1"/>
  <c r="W762" i="3" l="1"/>
  <c r="L762" i="3"/>
  <c r="AC763" i="3"/>
  <c r="Z763" i="3"/>
  <c r="AA763" i="3"/>
  <c r="P763" i="3"/>
  <c r="Q763" i="3" s="1"/>
  <c r="R763" i="3" s="1"/>
  <c r="S763" i="3" s="1"/>
  <c r="AD763" i="3"/>
  <c r="U762" i="3" l="1"/>
  <c r="Y761" i="3"/>
  <c r="T763" i="3"/>
  <c r="D763" i="3" l="1"/>
  <c r="G763" i="3" s="1"/>
  <c r="AG763" i="3"/>
  <c r="AH763" i="3"/>
  <c r="E763" i="3"/>
  <c r="H763" i="3" s="1"/>
  <c r="K763" i="3" s="1"/>
  <c r="AE763" i="3" s="1"/>
  <c r="F763" i="3" l="1"/>
  <c r="I763" i="3"/>
  <c r="J763" i="3"/>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AD765" i="3"/>
  <c r="I764" i="3"/>
  <c r="W764" i="3" s="1"/>
  <c r="J764" i="3"/>
  <c r="AD764" i="3" s="1"/>
  <c r="M764" i="3"/>
  <c r="N764" i="3" s="1"/>
  <c r="T765" i="3" l="1"/>
  <c r="L764" i="3"/>
  <c r="AG765" i="3" l="1"/>
  <c r="AH765" i="3"/>
  <c r="U764" i="3"/>
  <c r="D765" i="3" s="1"/>
  <c r="Y763" i="3"/>
  <c r="E765" i="3" l="1"/>
  <c r="H765" i="3" s="1"/>
  <c r="K765" i="3" s="1"/>
  <c r="AE765" i="3" s="1"/>
  <c r="G765" i="3"/>
  <c r="F765" i="3" l="1"/>
  <c r="I765" i="3"/>
  <c r="J765" i="3"/>
  <c r="M765" i="3"/>
  <c r="N765" i="3" s="1"/>
  <c r="V765" i="3"/>
  <c r="A766" i="3"/>
  <c r="B766" i="3" s="1"/>
  <c r="W765" i="3" l="1"/>
  <c r="L765" i="3"/>
  <c r="AD766"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M766" i="3"/>
  <c r="N766" i="3" s="1"/>
  <c r="P767" i="3"/>
  <c r="Q767" i="3" s="1"/>
  <c r="R767" i="3" s="1"/>
  <c r="S767" i="3" s="1"/>
  <c r="AC767" i="3"/>
  <c r="AD767" i="3"/>
  <c r="AA767" i="3"/>
  <c r="Z767" i="3"/>
  <c r="T767" i="3" l="1"/>
  <c r="L766" i="3"/>
  <c r="AH767" i="3" l="1"/>
  <c r="AG767" i="3"/>
  <c r="U766" i="3"/>
  <c r="D767" i="3" s="1"/>
  <c r="Y765" i="3"/>
  <c r="E767" i="3" l="1"/>
  <c r="H767" i="3" s="1"/>
  <c r="K767" i="3" s="1"/>
  <c r="AE767" i="3" s="1"/>
  <c r="G767" i="3"/>
  <c r="F767" i="3" l="1"/>
  <c r="I767" i="3"/>
  <c r="J767" i="3"/>
  <c r="M767" i="3"/>
  <c r="N767" i="3" s="1"/>
  <c r="V767" i="3"/>
  <c r="A768" i="3"/>
  <c r="B768" i="3" s="1"/>
  <c r="W767" i="3" l="1"/>
  <c r="L767" i="3"/>
  <c r="AC768" i="3"/>
  <c r="AA768" i="3"/>
  <c r="AD768" i="3"/>
  <c r="P768" i="3"/>
  <c r="Q768" i="3" s="1"/>
  <c r="R768" i="3" s="1"/>
  <c r="S768" i="3" s="1"/>
  <c r="Z768" i="3"/>
  <c r="T768" i="3" l="1"/>
  <c r="AG768" i="3" s="1"/>
  <c r="U767" i="3"/>
  <c r="Y766" i="3"/>
  <c r="D768" i="3" l="1"/>
  <c r="G768" i="3" s="1"/>
  <c r="AH768" i="3"/>
  <c r="E768" i="3"/>
  <c r="H768" i="3" s="1"/>
  <c r="K768" i="3" l="1"/>
  <c r="AE768" i="3" s="1"/>
  <c r="I768" i="3"/>
  <c r="J768" i="3"/>
  <c r="M768" i="3"/>
  <c r="N768" i="3" s="1"/>
  <c r="F768" i="3"/>
  <c r="L768" i="3" l="1"/>
  <c r="V768" i="3"/>
  <c r="W768" i="3" s="1"/>
  <c r="A769" i="3"/>
  <c r="B769" i="3" s="1"/>
  <c r="AD769" i="3" l="1"/>
  <c r="AC769" i="3"/>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M769" i="3"/>
  <c r="N769" i="3" s="1"/>
  <c r="W769" i="3" l="1"/>
  <c r="L769" i="3"/>
  <c r="AC770" i="3"/>
  <c r="P770" i="3"/>
  <c r="Q770" i="3" s="1"/>
  <c r="R770" i="3" s="1"/>
  <c r="S770" i="3" s="1"/>
  <c r="AD770" i="3"/>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L770" i="3" s="1"/>
  <c r="AA771" i="3"/>
  <c r="AC771" i="3"/>
  <c r="P771" i="3"/>
  <c r="Q771" i="3" s="1"/>
  <c r="R771" i="3" s="1"/>
  <c r="S771" i="3" s="1"/>
  <c r="Z771" i="3"/>
  <c r="AD771" i="3"/>
  <c r="U770" i="3" l="1"/>
  <c r="Y769" i="3"/>
  <c r="T771" i="3"/>
  <c r="AH771" i="3" s="1"/>
  <c r="E771" i="3" l="1"/>
  <c r="H771" i="3" s="1"/>
  <c r="AG771" i="3"/>
  <c r="D771" i="3"/>
  <c r="K771" i="3" l="1"/>
  <c r="AE771" i="3" s="1"/>
  <c r="F771" i="3"/>
  <c r="G771" i="3"/>
  <c r="V771" i="3" l="1"/>
  <c r="A772" i="3"/>
  <c r="B772" i="3" s="1"/>
  <c r="I771" i="3"/>
  <c r="J771" i="3"/>
  <c r="M771" i="3"/>
  <c r="N771" i="3" s="1"/>
  <c r="L771" i="3" l="1"/>
  <c r="W771" i="3"/>
  <c r="AD772"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M772" i="3"/>
  <c r="N772" i="3" s="1"/>
  <c r="W772" i="3" l="1"/>
  <c r="L772" i="3"/>
  <c r="AA773" i="3"/>
  <c r="P773" i="3"/>
  <c r="Q773" i="3" s="1"/>
  <c r="R773" i="3" s="1"/>
  <c r="S773" i="3" s="1"/>
  <c r="Z773" i="3"/>
  <c r="AD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L773" i="3" s="1"/>
  <c r="AC774" i="3"/>
  <c r="P774" i="3"/>
  <c r="Q774" i="3" s="1"/>
  <c r="R774" i="3" s="1"/>
  <c r="S774" i="3" s="1"/>
  <c r="AA774" i="3"/>
  <c r="Z774" i="3"/>
  <c r="U773" i="3" l="1"/>
  <c r="Y772" i="3"/>
  <c r="T774" i="3"/>
  <c r="AG774" i="3" s="1"/>
  <c r="E774" i="3" l="1"/>
  <c r="H774" i="3" s="1"/>
  <c r="K774" i="3" s="1"/>
  <c r="AE774" i="3" s="1"/>
  <c r="AH774" i="3"/>
  <c r="D774" i="3"/>
  <c r="F774" i="3" l="1"/>
  <c r="G774" i="3"/>
  <c r="M774" i="3" s="1"/>
  <c r="N774" i="3" s="1"/>
  <c r="V774" i="3"/>
  <c r="A775" i="3"/>
  <c r="B775" i="3" s="1"/>
  <c r="I774" i="3" l="1"/>
  <c r="W774" i="3" s="1"/>
  <c r="J774" i="3"/>
  <c r="P775" i="3"/>
  <c r="Q775" i="3" s="1"/>
  <c r="R775" i="3" s="1"/>
  <c r="S775" i="3" s="1"/>
  <c r="Z775" i="3"/>
  <c r="AD775" i="3"/>
  <c r="AA775" i="3"/>
  <c r="AC775" i="3"/>
  <c r="L774" i="3" l="1"/>
  <c r="Y773"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D778" i="3"/>
  <c r="AA778" i="3"/>
  <c r="AC778" i="3"/>
  <c r="U777" i="3" l="1"/>
  <c r="Y776" i="3"/>
  <c r="T778" i="3"/>
  <c r="AH778" i="3" s="1"/>
  <c r="E778" i="3" l="1"/>
  <c r="H778" i="3" s="1"/>
  <c r="K778" i="3" s="1"/>
  <c r="AE778" i="3" s="1"/>
  <c r="AG778" i="3"/>
  <c r="D778" i="3"/>
  <c r="G778" i="3" s="1"/>
  <c r="F778" i="3" l="1"/>
  <c r="I778" i="3"/>
  <c r="J778" i="3"/>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AD785" i="3"/>
  <c r="P785" i="3"/>
  <c r="Q785" i="3" s="1"/>
  <c r="R785" i="3" s="1"/>
  <c r="S785" i="3" s="1"/>
  <c r="AC785" i="3"/>
  <c r="Z785" i="3"/>
  <c r="U784" i="3" l="1"/>
  <c r="Y783" i="3"/>
  <c r="T785" i="3"/>
  <c r="AH785" i="3" s="1"/>
  <c r="E785" i="3" l="1"/>
  <c r="H785" i="3" s="1"/>
  <c r="AG785" i="3"/>
  <c r="D785" i="3"/>
  <c r="K785" i="3" l="1"/>
  <c r="AE785" i="3" s="1"/>
  <c r="F785" i="3"/>
  <c r="G785" i="3"/>
  <c r="I785" i="3" l="1"/>
  <c r="J785" i="3"/>
  <c r="M785" i="3"/>
  <c r="N785" i="3" s="1"/>
  <c r="V785" i="3"/>
  <c r="A786" i="3"/>
  <c r="B786" i="3" s="1"/>
  <c r="W785" i="3" l="1"/>
  <c r="L785" i="3"/>
  <c r="Z786" i="3"/>
  <c r="AD786" i="3"/>
  <c r="AA786" i="3"/>
  <c r="P786" i="3"/>
  <c r="Q786" i="3" s="1"/>
  <c r="R786" i="3" s="1"/>
  <c r="S786" i="3" s="1"/>
  <c r="AC786" i="3"/>
  <c r="U785" i="3" l="1"/>
  <c r="Y784" i="3"/>
  <c r="T786" i="3"/>
  <c r="E786" i="3" l="1"/>
  <c r="H786" i="3" s="1"/>
  <c r="K786" i="3" s="1"/>
  <c r="AE786" i="3" s="1"/>
  <c r="AG786" i="3"/>
  <c r="D786" i="3"/>
  <c r="G786" i="3" s="1"/>
  <c r="AH786" i="3"/>
  <c r="F786" i="3" l="1"/>
  <c r="I786" i="3"/>
  <c r="J786" i="3"/>
  <c r="M786" i="3"/>
  <c r="N786" i="3" s="1"/>
  <c r="V786" i="3"/>
  <c r="A787" i="3"/>
  <c r="B787" i="3" s="1"/>
  <c r="L786" i="3" l="1"/>
  <c r="W786" i="3"/>
  <c r="AC787" i="3"/>
  <c r="P787" i="3"/>
  <c r="Q787" i="3" s="1"/>
  <c r="R787" i="3" s="1"/>
  <c r="S787" i="3" s="1"/>
  <c r="Z787" i="3"/>
  <c r="AD787" i="3"/>
  <c r="AA787" i="3"/>
  <c r="U786" i="3" l="1"/>
  <c r="Y785" i="3"/>
  <c r="T787" i="3"/>
  <c r="D787" i="3" l="1"/>
  <c r="G787" i="3" s="1"/>
  <c r="AH787" i="3"/>
  <c r="E787" i="3"/>
  <c r="H787" i="3" s="1"/>
  <c r="AG787" i="3"/>
  <c r="F787" i="3" l="1"/>
  <c r="I787" i="3"/>
  <c r="J787" i="3"/>
  <c r="M787" i="3"/>
  <c r="N787" i="3" s="1"/>
  <c r="K787" i="3"/>
  <c r="AE787" i="3" s="1"/>
  <c r="V787" i="3" l="1"/>
  <c r="W787" i="3" s="1"/>
  <c r="A788" i="3"/>
  <c r="B788" i="3" s="1"/>
  <c r="L787" i="3"/>
  <c r="U787" i="3" l="1"/>
  <c r="Y786" i="3"/>
  <c r="AC788" i="3"/>
  <c r="Z788" i="3"/>
  <c r="AD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L788" i="3" s="1"/>
  <c r="W788" i="3"/>
  <c r="P789" i="3"/>
  <c r="Q789" i="3" s="1"/>
  <c r="R789" i="3" s="1"/>
  <c r="S789" i="3" s="1"/>
  <c r="AC789" i="3"/>
  <c r="AD789" i="3"/>
  <c r="AA789" i="3"/>
  <c r="Z789" i="3"/>
  <c r="U788" i="3" l="1"/>
  <c r="Y787" i="3"/>
  <c r="T789" i="3"/>
  <c r="D789" i="3" l="1"/>
  <c r="G789" i="3" s="1"/>
  <c r="E789" i="3"/>
  <c r="H789" i="3" s="1"/>
  <c r="AH789" i="3"/>
  <c r="AG789" i="3"/>
  <c r="F789" i="3" l="1"/>
  <c r="I789" i="3"/>
  <c r="J789" i="3"/>
  <c r="M789" i="3"/>
  <c r="N789" i="3" s="1"/>
  <c r="K789" i="3"/>
  <c r="AE789" i="3" s="1"/>
  <c r="L789" i="3" l="1"/>
  <c r="V789" i="3"/>
  <c r="W789" i="3" s="1"/>
  <c r="A790" i="3"/>
  <c r="B790" i="3" s="1"/>
  <c r="AA790" i="3" l="1"/>
  <c r="AC790" i="3"/>
  <c r="Z790" i="3"/>
  <c r="AD790" i="3"/>
  <c r="P790" i="3"/>
  <c r="Q790" i="3" s="1"/>
  <c r="R790" i="3" s="1"/>
  <c r="S790" i="3" s="1"/>
  <c r="U789" i="3"/>
  <c r="Y788" i="3"/>
  <c r="T790" i="3" l="1"/>
  <c r="D790" i="3" s="1"/>
  <c r="AG790" i="3" l="1"/>
  <c r="G790" i="3"/>
  <c r="AH790" i="3"/>
  <c r="E790" i="3"/>
  <c r="H790" i="3" s="1"/>
  <c r="F790" i="3" l="1"/>
  <c r="I790" i="3"/>
  <c r="J790" i="3"/>
  <c r="M790" i="3"/>
  <c r="N790" i="3" s="1"/>
  <c r="K790" i="3"/>
  <c r="AE790" i="3" s="1"/>
  <c r="V790" i="3" l="1"/>
  <c r="W790" i="3" s="1"/>
  <c r="A791" i="3"/>
  <c r="B791" i="3" s="1"/>
  <c r="L790" i="3"/>
  <c r="U790" i="3" l="1"/>
  <c r="Y789" i="3"/>
  <c r="AD791" i="3"/>
  <c r="P791" i="3"/>
  <c r="Q791" i="3" s="1"/>
  <c r="R791" i="3" s="1"/>
  <c r="S791" i="3" s="1"/>
  <c r="AA791" i="3"/>
  <c r="AC791" i="3"/>
  <c r="Z791" i="3"/>
  <c r="T791" i="3" l="1"/>
  <c r="AG791" i="3" s="1"/>
  <c r="E791" i="3" l="1"/>
  <c r="H791" i="3" s="1"/>
  <c r="K791" i="3" s="1"/>
  <c r="AE791" i="3" s="1"/>
  <c r="D791" i="3"/>
  <c r="G791" i="3" s="1"/>
  <c r="AH791" i="3"/>
  <c r="F791" i="3" l="1"/>
  <c r="I791" i="3"/>
  <c r="J791" i="3"/>
  <c r="M791" i="3"/>
  <c r="N791" i="3" s="1"/>
  <c r="V791" i="3"/>
  <c r="A792" i="3"/>
  <c r="B792" i="3" s="1"/>
  <c r="W791" i="3" l="1"/>
  <c r="L791" i="3"/>
  <c r="P792" i="3"/>
  <c r="Q792" i="3" s="1"/>
  <c r="R792" i="3" s="1"/>
  <c r="S792" i="3" s="1"/>
  <c r="AC792" i="3"/>
  <c r="AD792" i="3"/>
  <c r="Z792" i="3"/>
  <c r="AA792" i="3"/>
  <c r="U791" i="3" l="1"/>
  <c r="Y790" i="3"/>
  <c r="T792" i="3"/>
  <c r="AG792" i="3" s="1"/>
  <c r="AH792" i="3" l="1"/>
  <c r="D792" i="3"/>
  <c r="E792" i="3"/>
  <c r="H792" i="3" s="1"/>
  <c r="F792" i="3" l="1"/>
  <c r="G792" i="3"/>
  <c r="K792" i="3"/>
  <c r="AE792" i="3" s="1"/>
  <c r="I792" i="3" l="1"/>
  <c r="J792" i="3"/>
  <c r="M792" i="3"/>
  <c r="N792" i="3" s="1"/>
  <c r="V792" i="3"/>
  <c r="A793" i="3"/>
  <c r="B793" i="3" s="1"/>
  <c r="L792" i="3" l="1"/>
  <c r="W792" i="3"/>
  <c r="AD793"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L793" i="3" s="1"/>
  <c r="Z794" i="3"/>
  <c r="AC794" i="3"/>
  <c r="P794" i="3"/>
  <c r="Q794" i="3" s="1"/>
  <c r="R794" i="3" s="1"/>
  <c r="S794" i="3" s="1"/>
  <c r="AA794" i="3"/>
  <c r="T794" i="3" l="1"/>
  <c r="AH794" i="3" s="1"/>
  <c r="U793" i="3"/>
  <c r="Y792" i="3"/>
  <c r="AG794" i="3" l="1"/>
  <c r="D794" i="3"/>
  <c r="E794" i="3"/>
  <c r="H794" i="3" s="1"/>
  <c r="F794" i="3" l="1"/>
  <c r="G794" i="3"/>
  <c r="K794" i="3"/>
  <c r="AE794" i="3" s="1"/>
  <c r="I794" i="3" l="1"/>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AD798" i="3"/>
  <c r="T798" i="3" l="1"/>
  <c r="U797" i="3"/>
  <c r="Y796" i="3"/>
  <c r="E798" i="3" l="1"/>
  <c r="H798" i="3" s="1"/>
  <c r="K798" i="3" s="1"/>
  <c r="AE798" i="3" s="1"/>
  <c r="D798" i="3"/>
  <c r="G798" i="3" s="1"/>
  <c r="AH798" i="3"/>
  <c r="AG798" i="3"/>
  <c r="F798" i="3" l="1"/>
  <c r="I798" i="3"/>
  <c r="J798" i="3"/>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D808" i="3"/>
  <c r="AC808" i="3"/>
  <c r="U807" i="3" l="1"/>
  <c r="Y806" i="3"/>
  <c r="T808" i="3"/>
  <c r="AH808" i="3" s="1"/>
  <c r="D808" i="3" l="1"/>
  <c r="G808" i="3" s="1"/>
  <c r="E808" i="3"/>
  <c r="H808" i="3" s="1"/>
  <c r="K808" i="3" s="1"/>
  <c r="AE808" i="3" s="1"/>
  <c r="AG808" i="3"/>
  <c r="F808" i="3" l="1"/>
  <c r="I808" i="3"/>
  <c r="J808" i="3"/>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AD818"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W826" i="3" s="1"/>
  <c r="A827" i="3"/>
  <c r="B827" i="3" s="1"/>
  <c r="L826" i="3" l="1"/>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AD828" i="3"/>
  <c r="P828" i="3"/>
  <c r="Q828" i="3" s="1"/>
  <c r="R828" i="3" s="1"/>
  <c r="S828" i="3" s="1"/>
  <c r="AC828" i="3"/>
  <c r="AA828" i="3"/>
  <c r="Z828" i="3"/>
  <c r="U827" i="3" l="1"/>
  <c r="Y826" i="3"/>
  <c r="T828" i="3"/>
  <c r="D828" i="3" l="1"/>
  <c r="G828" i="3" s="1"/>
  <c r="AG828" i="3"/>
  <c r="AH828" i="3"/>
  <c r="E828" i="3"/>
  <c r="H828" i="3" s="1"/>
  <c r="F828" i="3" l="1"/>
  <c r="I828" i="3"/>
  <c r="J828" i="3"/>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AD838" i="3"/>
  <c r="U837" i="3" l="1"/>
  <c r="Y836" i="3"/>
  <c r="T838" i="3"/>
  <c r="AH838" i="3" s="1"/>
  <c r="E838" i="3" l="1"/>
  <c r="H838" i="3" s="1"/>
  <c r="D838" i="3"/>
  <c r="AG838" i="3"/>
  <c r="K838" i="3" l="1"/>
  <c r="AE838" i="3" s="1"/>
  <c r="F838" i="3"/>
  <c r="G838" i="3"/>
  <c r="V838" i="3" l="1"/>
  <c r="A839" i="3"/>
  <c r="B839" i="3" s="1"/>
  <c r="I838" i="3"/>
  <c r="J838" i="3"/>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AD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AD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AD868" i="3"/>
  <c r="Z868" i="3"/>
  <c r="AA868" i="3"/>
  <c r="AC868" i="3"/>
  <c r="P868" i="3"/>
  <c r="Q868" i="3" s="1"/>
  <c r="R868" i="3" s="1"/>
  <c r="S868" i="3" s="1"/>
  <c r="T868" i="3" l="1"/>
  <c r="U867" i="3"/>
  <c r="Y866" i="3"/>
  <c r="E868" i="3" l="1"/>
  <c r="H868" i="3" s="1"/>
  <c r="K868" i="3" s="1"/>
  <c r="AE868" i="3" s="1"/>
  <c r="AH868" i="3"/>
  <c r="D868" i="3"/>
  <c r="G868" i="3" s="1"/>
  <c r="AG868" i="3"/>
  <c r="F868" i="3" l="1"/>
  <c r="I868" i="3"/>
  <c r="J868" i="3"/>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D878" i="3"/>
  <c r="AC878" i="3"/>
  <c r="AA878" i="3"/>
  <c r="P878" i="3"/>
  <c r="Q878" i="3" s="1"/>
  <c r="R878" i="3" s="1"/>
  <c r="S878" i="3" s="1"/>
  <c r="T878" i="3" l="1"/>
  <c r="E878" i="3" s="1"/>
  <c r="H878" i="3" s="1"/>
  <c r="D878" i="3" l="1"/>
  <c r="G878" i="3" s="1"/>
  <c r="AG878" i="3"/>
  <c r="AH878" i="3"/>
  <c r="K878" i="3"/>
  <c r="AE878" i="3" s="1"/>
  <c r="F878" i="3" l="1"/>
  <c r="I878" i="3"/>
  <c r="J878" i="3"/>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D888" i="3"/>
  <c r="AA888" i="3"/>
  <c r="Z888" i="3"/>
  <c r="P888" i="3"/>
  <c r="Q888" i="3" s="1"/>
  <c r="R888" i="3" s="1"/>
  <c r="S888" i="3" s="1"/>
  <c r="T888" i="3" l="1"/>
  <c r="U887" i="3"/>
  <c r="Y886" i="3"/>
  <c r="E888" i="3" l="1"/>
  <c r="H888" i="3" s="1"/>
  <c r="K888" i="3" s="1"/>
  <c r="AE888" i="3" s="1"/>
  <c r="D888" i="3"/>
  <c r="G888" i="3" s="1"/>
  <c r="AG888" i="3"/>
  <c r="AH888" i="3"/>
  <c r="F888" i="3" l="1"/>
  <c r="I888" i="3"/>
  <c r="J888" i="3"/>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AD898" i="3"/>
  <c r="P898" i="3"/>
  <c r="Q898" i="3" s="1"/>
  <c r="R898" i="3" s="1"/>
  <c r="S898" i="3" s="1"/>
  <c r="Z898" i="3"/>
  <c r="AC898" i="3"/>
  <c r="U897" i="3"/>
  <c r="Y896" i="3"/>
  <c r="T898" i="3" l="1"/>
  <c r="D898" i="3" s="1"/>
  <c r="G898" i="3" l="1"/>
  <c r="AG898" i="3"/>
  <c r="E898" i="3"/>
  <c r="H898" i="3" s="1"/>
  <c r="AH898" i="3"/>
  <c r="F898" i="3" l="1"/>
  <c r="I898" i="3"/>
  <c r="J898" i="3"/>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D908" i="3"/>
  <c r="AC908" i="3"/>
  <c r="T908" i="3" l="1"/>
  <c r="L907" i="3"/>
  <c r="AG908" i="3" l="1"/>
  <c r="AH908" i="3"/>
  <c r="U907" i="3"/>
  <c r="E908" i="3" s="1"/>
  <c r="H908" i="3" s="1"/>
  <c r="Y906" i="3"/>
  <c r="D908" i="3" l="1"/>
  <c r="G908" i="3" s="1"/>
  <c r="K908" i="3"/>
  <c r="AE908" i="3" s="1"/>
  <c r="F908" i="3" l="1"/>
  <c r="I908" i="3"/>
  <c r="J908" i="3"/>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D918" i="3"/>
  <c r="AA918" i="3"/>
  <c r="Z918" i="3"/>
  <c r="P918" i="3"/>
  <c r="Q918" i="3" s="1"/>
  <c r="R918" i="3" s="1"/>
  <c r="S918" i="3" s="1"/>
  <c r="T918" i="3" l="1"/>
  <c r="U917" i="3"/>
  <c r="Y916" i="3"/>
  <c r="E918" i="3" l="1"/>
  <c r="H918" i="3" s="1"/>
  <c r="K918" i="3" s="1"/>
  <c r="AE918" i="3" s="1"/>
  <c r="AH918" i="3"/>
  <c r="D918" i="3"/>
  <c r="G918" i="3" s="1"/>
  <c r="AG918" i="3"/>
  <c r="F918" i="3" l="1"/>
  <c r="I918" i="3"/>
  <c r="J918" i="3"/>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D928" i="3"/>
  <c r="AA928" i="3"/>
  <c r="Z928" i="3"/>
  <c r="P928" i="3"/>
  <c r="Q928" i="3" s="1"/>
  <c r="R928" i="3" s="1"/>
  <c r="S928" i="3" s="1"/>
  <c r="T928" i="3" l="1"/>
  <c r="D928" i="3" s="1"/>
  <c r="AH928" i="3" l="1"/>
  <c r="E928" i="3"/>
  <c r="H928" i="3" s="1"/>
  <c r="K928" i="3" s="1"/>
  <c r="AE928" i="3" s="1"/>
  <c r="AG928" i="3"/>
  <c r="G928" i="3"/>
  <c r="F928" i="3" l="1"/>
  <c r="I928" i="3"/>
  <c r="J928" i="3"/>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AD938" i="3"/>
  <c r="T938" i="3" l="1"/>
  <c r="AG938" i="3" s="1"/>
  <c r="U937" i="3"/>
  <c r="Y936" i="3"/>
  <c r="D938" i="3" l="1"/>
  <c r="AH938" i="3"/>
  <c r="E938" i="3"/>
  <c r="H938" i="3" s="1"/>
  <c r="F938" i="3" l="1"/>
  <c r="G938" i="3"/>
  <c r="J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AD948" i="3"/>
  <c r="Z948" i="3"/>
  <c r="AC948" i="3"/>
  <c r="U947" i="3" l="1"/>
  <c r="Y946" i="3"/>
  <c r="T948" i="3"/>
  <c r="AH948" i="3" s="1"/>
  <c r="AG948" i="3" l="1"/>
  <c r="E948" i="3"/>
  <c r="H948" i="3" s="1"/>
  <c r="D948" i="3"/>
  <c r="K948" i="3" l="1"/>
  <c r="AE948" i="3" s="1"/>
  <c r="F948" i="3"/>
  <c r="G948" i="3"/>
  <c r="I948" i="3" l="1"/>
  <c r="J948" i="3"/>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D955" i="3"/>
  <c r="AC955" i="3"/>
  <c r="Z955" i="3"/>
  <c r="U954" i="3" l="1"/>
  <c r="Y953" i="3"/>
  <c r="T955" i="3"/>
  <c r="AG955" i="3" s="1"/>
  <c r="AH955" i="3" l="1"/>
  <c r="D955" i="3"/>
  <c r="E955" i="3"/>
  <c r="H955" i="3" s="1"/>
  <c r="F955" i="3" l="1"/>
  <c r="G955" i="3"/>
  <c r="K955" i="3"/>
  <c r="AE955" i="3" s="1"/>
  <c r="I955" i="3" l="1"/>
  <c r="J955" i="3"/>
  <c r="M955" i="3"/>
  <c r="N955" i="3" s="1"/>
  <c r="V955" i="3"/>
  <c r="A956" i="3"/>
  <c r="B956" i="3" s="1"/>
  <c r="W955" i="3" l="1"/>
  <c r="L955" i="3"/>
  <c r="AA956" i="3"/>
  <c r="P956" i="3"/>
  <c r="Q956" i="3" s="1"/>
  <c r="R956" i="3" s="1"/>
  <c r="S956" i="3" s="1"/>
  <c r="Z956" i="3"/>
  <c r="AD956" i="3"/>
  <c r="AC956" i="3"/>
  <c r="U955" i="3" l="1"/>
  <c r="Y954" i="3"/>
  <c r="T956" i="3"/>
  <c r="AH956" i="3" s="1"/>
  <c r="AG956" i="3" l="1"/>
  <c r="E956" i="3"/>
  <c r="H956" i="3" s="1"/>
  <c r="K956" i="3" s="1"/>
  <c r="AE956" i="3" s="1"/>
  <c r="D956" i="3"/>
  <c r="V956" i="3" l="1"/>
  <c r="A957" i="3"/>
  <c r="B957" i="3" s="1"/>
  <c r="F956" i="3"/>
  <c r="G956" i="3"/>
  <c r="I956" i="3" l="1"/>
  <c r="W956" i="3" s="1"/>
  <c r="J956" i="3"/>
  <c r="M956" i="3"/>
  <c r="N956" i="3" s="1"/>
  <c r="AA957" i="3"/>
  <c r="AD957" i="3"/>
  <c r="Z957" i="3"/>
  <c r="P957" i="3"/>
  <c r="Q957" i="3" s="1"/>
  <c r="R957" i="3" s="1"/>
  <c r="S957" i="3" s="1"/>
  <c r="AC957" i="3"/>
  <c r="T957" i="3" l="1"/>
  <c r="L956" i="3"/>
  <c r="AG957" i="3" l="1"/>
  <c r="U956" i="3"/>
  <c r="E957" i="3" s="1"/>
  <c r="H957" i="3" s="1"/>
  <c r="AH957" i="3"/>
  <c r="Y955" i="3"/>
  <c r="D957" i="3" l="1"/>
  <c r="G957" i="3" s="1"/>
  <c r="K957" i="3"/>
  <c r="AE957" i="3" s="1"/>
  <c r="F957" i="3" l="1"/>
  <c r="I957" i="3"/>
  <c r="J957" i="3"/>
  <c r="M957" i="3"/>
  <c r="N957" i="3" s="1"/>
  <c r="V957" i="3"/>
  <c r="A958" i="3"/>
  <c r="B958" i="3" s="1"/>
  <c r="W957" i="3" l="1"/>
  <c r="L957" i="3"/>
  <c r="AC958" i="3"/>
  <c r="AA958" i="3"/>
  <c r="P958" i="3"/>
  <c r="Q958" i="3" s="1"/>
  <c r="R958" i="3" s="1"/>
  <c r="S958" i="3" s="1"/>
  <c r="Z958" i="3"/>
  <c r="AD958" i="3"/>
  <c r="T958" i="3" l="1"/>
  <c r="AH958" i="3" s="1"/>
  <c r="U957" i="3"/>
  <c r="Y956" i="3"/>
  <c r="AG958" i="3" l="1"/>
  <c r="D958" i="3"/>
  <c r="E958" i="3"/>
  <c r="H958" i="3" s="1"/>
  <c r="K958" i="3" l="1"/>
  <c r="AE958" i="3" s="1"/>
  <c r="F958" i="3"/>
  <c r="G958" i="3"/>
  <c r="V958" i="3" l="1"/>
  <c r="A959" i="3"/>
  <c r="B959" i="3" s="1"/>
  <c r="I958" i="3"/>
  <c r="J958" i="3"/>
  <c r="M958" i="3"/>
  <c r="N958" i="3" s="1"/>
  <c r="W958" i="3" l="1"/>
  <c r="L958" i="3"/>
  <c r="Z959" i="3"/>
  <c r="AC959" i="3"/>
  <c r="P959" i="3"/>
  <c r="Q959" i="3" s="1"/>
  <c r="R959" i="3" s="1"/>
  <c r="S959" i="3" s="1"/>
  <c r="AA959" i="3"/>
  <c r="AD959" i="3"/>
  <c r="T959" i="3" l="1"/>
  <c r="AH959" i="3" s="1"/>
  <c r="U958" i="3"/>
  <c r="Y957" i="3"/>
  <c r="AG959" i="3" l="1"/>
  <c r="E959" i="3"/>
  <c r="H959" i="3" s="1"/>
  <c r="K959" i="3" s="1"/>
  <c r="AE959" i="3" s="1"/>
  <c r="D959" i="3"/>
  <c r="F959" i="3" l="1"/>
  <c r="G959" i="3"/>
  <c r="V959" i="3"/>
  <c r="A960" i="3"/>
  <c r="B960" i="3" s="1"/>
  <c r="AD960" i="3" l="1"/>
  <c r="Z960" i="3"/>
  <c r="AA960" i="3"/>
  <c r="P960" i="3"/>
  <c r="Q960" i="3" s="1"/>
  <c r="R960" i="3" s="1"/>
  <c r="S960" i="3" s="1"/>
  <c r="AC960" i="3"/>
  <c r="I959" i="3"/>
  <c r="W959" i="3" s="1"/>
  <c r="J959" i="3"/>
  <c r="M959" i="3"/>
  <c r="N959" i="3" s="1"/>
  <c r="T960" i="3" l="1"/>
  <c r="L959" i="3"/>
  <c r="U959" i="3" l="1"/>
  <c r="E960" i="3" s="1"/>
  <c r="H960" i="3" s="1"/>
  <c r="AG960" i="3"/>
  <c r="AH960" i="3"/>
  <c r="Y958" i="3"/>
  <c r="D960" i="3" l="1"/>
  <c r="G960" i="3" s="1"/>
  <c r="K960" i="3"/>
  <c r="AE960" i="3" s="1"/>
  <c r="F960" i="3" l="1"/>
  <c r="I960" i="3"/>
  <c r="J960" i="3"/>
  <c r="M960" i="3"/>
  <c r="N960" i="3" s="1"/>
  <c r="V960" i="3"/>
  <c r="A961" i="3"/>
  <c r="B961" i="3" s="1"/>
  <c r="W960" i="3" l="1"/>
  <c r="P961" i="3"/>
  <c r="Q961" i="3" s="1"/>
  <c r="R961" i="3" s="1"/>
  <c r="S961" i="3" s="1"/>
  <c r="AD961" i="3"/>
  <c r="AC961" i="3"/>
  <c r="Z961" i="3"/>
  <c r="AA961" i="3"/>
  <c r="L960" i="3"/>
  <c r="U960" i="3" l="1"/>
  <c r="Y959" i="3"/>
  <c r="T961" i="3"/>
  <c r="D961" i="3" l="1"/>
  <c r="G961" i="3" s="1"/>
  <c r="AH961" i="3"/>
  <c r="AG961" i="3"/>
  <c r="E961" i="3"/>
  <c r="H961" i="3" s="1"/>
  <c r="K961" i="3" l="1"/>
  <c r="AE961" i="3" s="1"/>
  <c r="I961" i="3"/>
  <c r="J961" i="3"/>
  <c r="M961" i="3"/>
  <c r="N961" i="3" s="1"/>
  <c r="F961" i="3"/>
  <c r="L961" i="3" l="1"/>
  <c r="V961" i="3"/>
  <c r="W961" i="3" s="1"/>
  <c r="A962" i="3"/>
  <c r="B962" i="3" s="1"/>
  <c r="Z962" i="3" l="1"/>
  <c r="AA962" i="3"/>
  <c r="P962" i="3"/>
  <c r="Q962" i="3" s="1"/>
  <c r="R962" i="3" s="1"/>
  <c r="S962" i="3" s="1"/>
  <c r="AC962" i="3"/>
  <c r="AD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AD963" i="3"/>
  <c r="I962" i="3"/>
  <c r="W962" i="3" s="1"/>
  <c r="J962" i="3"/>
  <c r="M962" i="3"/>
  <c r="N962" i="3" s="1"/>
  <c r="T963" i="3" l="1"/>
  <c r="L962" i="3"/>
  <c r="U962" i="3" l="1"/>
  <c r="E963" i="3" s="1"/>
  <c r="H963" i="3" s="1"/>
  <c r="AG963" i="3"/>
  <c r="AH963" i="3"/>
  <c r="Y961" i="3"/>
  <c r="D963" i="3" l="1"/>
  <c r="G963" i="3" s="1"/>
  <c r="K963" i="3"/>
  <c r="AE963" i="3" s="1"/>
  <c r="F963" i="3" l="1"/>
  <c r="I963" i="3"/>
  <c r="J963" i="3"/>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AD968" i="3"/>
  <c r="L967" i="3" l="1"/>
  <c r="T968" i="3"/>
  <c r="AH968" i="3" l="1"/>
  <c r="AG968" i="3"/>
  <c r="U967" i="3"/>
  <c r="E968" i="3" s="1"/>
  <c r="H968" i="3" s="1"/>
  <c r="Y966" i="3"/>
  <c r="K968" i="3" l="1"/>
  <c r="AE968" i="3" s="1"/>
  <c r="D968" i="3"/>
  <c r="V968" i="3" l="1"/>
  <c r="A969" i="3"/>
  <c r="B969" i="3" s="1"/>
  <c r="F968" i="3"/>
  <c r="G968" i="3"/>
  <c r="I968" i="3" l="1"/>
  <c r="W968" i="3" s="1"/>
  <c r="J968" i="3"/>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AD978" i="3"/>
  <c r="Z978" i="3"/>
  <c r="AA978" i="3"/>
  <c r="P978" i="3"/>
  <c r="Q978" i="3" s="1"/>
  <c r="R978" i="3" s="1"/>
  <c r="S978" i="3" s="1"/>
  <c r="T978" i="3" l="1"/>
  <c r="U977" i="3"/>
  <c r="Y976" i="3"/>
  <c r="D978" i="3" l="1"/>
  <c r="G978" i="3" s="1"/>
  <c r="E978" i="3"/>
  <c r="H978" i="3" s="1"/>
  <c r="K978" i="3" s="1"/>
  <c r="AE978" i="3" s="1"/>
  <c r="AH978" i="3"/>
  <c r="AG978" i="3"/>
  <c r="F978" i="3" l="1"/>
  <c r="I978" i="3"/>
  <c r="J978" i="3"/>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D988" i="3"/>
  <c r="AA988" i="3"/>
  <c r="P988" i="3"/>
  <c r="Q988" i="3" s="1"/>
  <c r="R988" i="3" s="1"/>
  <c r="S988" i="3" s="1"/>
  <c r="L987" i="3" l="1"/>
  <c r="T988" i="3"/>
  <c r="AH988" i="3" l="1"/>
  <c r="U987" i="3"/>
  <c r="E988" i="3" s="1"/>
  <c r="H988" i="3" s="1"/>
  <c r="AG988" i="3"/>
  <c r="Y986" i="3"/>
  <c r="D988" i="3" l="1"/>
  <c r="G988" i="3" s="1"/>
  <c r="K988" i="3"/>
  <c r="AE988" i="3" s="1"/>
  <c r="F988" i="3" l="1"/>
  <c r="I988" i="3"/>
  <c r="J988" i="3"/>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D998" i="3"/>
  <c r="AC998" i="3"/>
  <c r="AA998" i="3"/>
  <c r="T998" i="3" l="1"/>
  <c r="AG998" i="3" s="1"/>
  <c r="U997" i="3"/>
  <c r="Y996" i="3"/>
  <c r="E998" i="3" l="1"/>
  <c r="H998" i="3" s="1"/>
  <c r="K998" i="3" s="1"/>
  <c r="AE998" i="3" s="1"/>
  <c r="AH998" i="3"/>
  <c r="D998" i="3"/>
  <c r="V998" i="3" l="1"/>
  <c r="A999" i="3"/>
  <c r="B999" i="3" s="1"/>
  <c r="F998" i="3"/>
  <c r="G998" i="3"/>
  <c r="I998" i="3" l="1"/>
  <c r="W998" i="3" s="1"/>
  <c r="J998" i="3"/>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W1000" i="3" s="1"/>
  <c r="A1001" i="3"/>
  <c r="B1001" i="3" s="1"/>
  <c r="L1000" i="3" l="1"/>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W1003" i="3" s="1"/>
  <c r="A1004" i="3"/>
  <c r="B1004" i="3" s="1"/>
  <c r="L1003" i="3" l="1"/>
  <c r="P1004" i="3"/>
  <c r="Q1004" i="3" s="1"/>
  <c r="R1004" i="3" s="1"/>
  <c r="S1004" i="3" s="1"/>
  <c r="T1004" i="3" s="1"/>
  <c r="AA1004" i="3"/>
  <c r="Z1004" i="3"/>
  <c r="AC1004" i="3"/>
  <c r="AG1004" i="3" l="1"/>
  <c r="AH1004" i="3"/>
  <c r="U1003" i="3"/>
  <c r="D1004" i="3" s="1"/>
  <c r="Y1002" i="3"/>
  <c r="J48" i="1"/>
  <c r="L48" i="1"/>
  <c r="I48" i="1"/>
  <c r="J25" i="1"/>
  <c r="K48" i="1"/>
  <c r="M48" i="1"/>
  <c r="K25" i="1"/>
  <c r="I25" i="1"/>
  <c r="K27" i="1"/>
  <c r="I46" i="1"/>
  <c r="L46" i="1"/>
  <c r="M46" i="1"/>
  <c r="K46" i="1"/>
  <c r="J46" i="1"/>
  <c r="I27" i="1"/>
  <c r="J27" i="1"/>
  <c r="E1004" i="3" l="1"/>
  <c r="H1004" i="3" s="1"/>
  <c r="K1004" i="3" s="1"/>
  <c r="AE1004" i="3" s="1"/>
  <c r="C122" i="1"/>
  <c r="C155" i="1"/>
  <c r="C31" i="1"/>
  <c r="C126" i="1"/>
  <c r="C121" i="1"/>
  <c r="C124" i="1"/>
  <c r="C33" i="1"/>
  <c r="J47" i="1" s="1"/>
  <c r="C129" i="1"/>
  <c r="C130" i="1" s="1"/>
  <c r="M25" i="1"/>
  <c r="I72" i="7"/>
  <c r="I73" i="7" s="1"/>
  <c r="I70" i="7"/>
  <c r="G1004" i="3"/>
  <c r="B128" i="1"/>
  <c r="B123" i="1"/>
  <c r="B127" i="1"/>
  <c r="D155" i="1"/>
  <c r="B124" i="1"/>
  <c r="B126" i="1"/>
  <c r="B129" i="1"/>
  <c r="B125" i="1"/>
  <c r="D31" i="1"/>
  <c r="D33" i="1"/>
  <c r="J49" i="1" s="1"/>
  <c r="C146" i="1"/>
  <c r="C147" i="1" s="1"/>
  <c r="C138" i="1"/>
  <c r="C141" i="1"/>
  <c r="C143" i="1"/>
  <c r="C139" i="1"/>
  <c r="B140" i="1"/>
  <c r="B143" i="1"/>
  <c r="B142" i="1"/>
  <c r="B146" i="1"/>
  <c r="B144" i="1"/>
  <c r="B141" i="1"/>
  <c r="B145" i="1"/>
  <c r="M27" i="1"/>
  <c r="H72" i="7"/>
  <c r="H73" i="7" s="1"/>
  <c r="H70" i="7"/>
  <c r="F1004" i="3" l="1"/>
  <c r="L24" i="1" s="1"/>
  <c r="H49" i="1"/>
  <c r="D32" i="1"/>
  <c r="L42" i="1"/>
  <c r="I1004" i="3"/>
  <c r="J1004" i="3"/>
  <c r="M1004" i="3"/>
  <c r="N1004" i="3" s="1"/>
  <c r="E31" i="7"/>
  <c r="H47" i="1"/>
  <c r="C32" i="1"/>
  <c r="V1004" i="3"/>
  <c r="L1004" i="3" l="1"/>
  <c r="Y1004" i="3" s="1"/>
  <c r="AD1004" i="3"/>
  <c r="W1004" i="3"/>
  <c r="B135" i="1"/>
  <c r="B137" i="1"/>
  <c r="B133" i="1"/>
  <c r="B132" i="1" s="1"/>
  <c r="F133" i="1"/>
  <c r="F134" i="1"/>
  <c r="C133" i="1"/>
  <c r="C135" i="1"/>
  <c r="K24" i="1"/>
  <c r="K42" i="1"/>
  <c r="B150" i="1"/>
  <c r="B149" i="1" s="1"/>
  <c r="B154" i="1"/>
  <c r="B152" i="1"/>
  <c r="H117" i="7"/>
  <c r="E62" i="7"/>
  <c r="F62" i="7" s="1"/>
  <c r="E120" i="7"/>
  <c r="F120" i="7" s="1"/>
  <c r="E119" i="7"/>
  <c r="F119" i="7" s="1"/>
  <c r="E133" i="7"/>
  <c r="E63" i="7"/>
  <c r="F63" i="7" s="1"/>
  <c r="H59" i="7"/>
  <c r="L31" i="7"/>
  <c r="E65" i="7"/>
  <c r="F65" i="7" s="1"/>
  <c r="Y1003" i="3" l="1"/>
  <c r="M41" i="1" s="1"/>
  <c r="U1004" i="3"/>
  <c r="J43" i="1"/>
  <c r="I41" i="1"/>
  <c r="K41" i="1"/>
  <c r="H26" i="1"/>
  <c r="J31" i="7" s="1"/>
  <c r="L43" i="1"/>
  <c r="M43" i="1"/>
  <c r="K43" i="1"/>
  <c r="H43" i="1"/>
  <c r="I44" i="1"/>
  <c r="H44" i="1"/>
  <c r="J26" i="1"/>
  <c r="D161" i="1" s="1"/>
  <c r="M44" i="1"/>
  <c r="K26" i="1"/>
  <c r="K31" i="7" s="1"/>
  <c r="K23" i="1"/>
  <c r="S26" i="6" s="1"/>
  <c r="L41" i="1"/>
  <c r="L44" i="1"/>
  <c r="I26" i="1"/>
  <c r="B163" i="1" s="1"/>
  <c r="J41" i="1"/>
  <c r="I43" i="1"/>
  <c r="J44" i="1"/>
  <c r="H28" i="1"/>
  <c r="F151" i="1" s="1"/>
  <c r="M31" i="7"/>
  <c r="E121" i="7"/>
  <c r="F121" i="7" s="1"/>
  <c r="H116" i="7"/>
  <c r="H58" i="7"/>
  <c r="E64" i="7"/>
  <c r="F64" i="7" s="1"/>
  <c r="H55" i="7" l="1"/>
  <c r="H112" i="7"/>
  <c r="H53" i="7"/>
  <c r="P31" i="1"/>
  <c r="P32" i="1"/>
  <c r="I67" i="7"/>
  <c r="H41" i="1"/>
  <c r="K44" i="1"/>
  <c r="H45" i="1"/>
  <c r="M45" i="1"/>
  <c r="L45" i="1"/>
  <c r="K45" i="1"/>
  <c r="K28" i="1" s="1"/>
  <c r="M28" i="1" s="1"/>
  <c r="J45" i="1"/>
  <c r="J28" i="1"/>
  <c r="P30" i="1"/>
  <c r="F193" i="1"/>
  <c r="F190" i="1"/>
  <c r="F171" i="1"/>
  <c r="D186" i="1"/>
  <c r="F161" i="1"/>
  <c r="F163" i="1"/>
  <c r="D166" i="1"/>
  <c r="D192" i="1"/>
  <c r="D194" i="1"/>
  <c r="D196" i="1"/>
  <c r="D173" i="1"/>
  <c r="D168" i="1"/>
  <c r="D197" i="1"/>
  <c r="D159" i="1"/>
  <c r="D185" i="1"/>
  <c r="F194" i="1"/>
  <c r="D165" i="1"/>
  <c r="D191" i="1"/>
  <c r="F183" i="1"/>
  <c r="F162" i="1"/>
  <c r="F170" i="1"/>
  <c r="F184" i="1"/>
  <c r="F168" i="1"/>
  <c r="F169" i="1"/>
  <c r="D164" i="1"/>
  <c r="F21" i="1"/>
  <c r="D177" i="1"/>
  <c r="F197" i="1"/>
  <c r="D160" i="1"/>
  <c r="F196" i="1"/>
  <c r="D162" i="1"/>
  <c r="D170" i="1"/>
  <c r="D181" i="1"/>
  <c r="F164" i="1"/>
  <c r="F165" i="1"/>
  <c r="D190" i="1"/>
  <c r="F182" i="1"/>
  <c r="F166" i="1"/>
  <c r="H44" i="7"/>
  <c r="D171" i="1"/>
  <c r="D169" i="1"/>
  <c r="F172" i="1"/>
  <c r="D179" i="1"/>
  <c r="D189" i="1"/>
  <c r="D183" i="1"/>
  <c r="F160" i="1"/>
  <c r="F195" i="1"/>
  <c r="D193" i="1"/>
  <c r="F179" i="1"/>
  <c r="D188" i="1"/>
  <c r="F185" i="1"/>
  <c r="F159" i="1"/>
  <c r="F173" i="1"/>
  <c r="D163" i="1"/>
  <c r="D184" i="1"/>
  <c r="D195" i="1"/>
  <c r="F191" i="1"/>
  <c r="H11" i="7"/>
  <c r="F181" i="1"/>
  <c r="D180" i="1"/>
  <c r="F186" i="1"/>
  <c r="F180" i="1"/>
  <c r="F187" i="1"/>
  <c r="F178" i="1"/>
  <c r="D178" i="1"/>
  <c r="D182" i="1"/>
  <c r="F192" i="1"/>
  <c r="D174" i="1"/>
  <c r="F189" i="1"/>
  <c r="F167" i="1"/>
  <c r="D187" i="1"/>
  <c r="F188" i="1"/>
  <c r="D172" i="1"/>
  <c r="F174" i="1"/>
  <c r="F177" i="1"/>
  <c r="D167" i="1"/>
  <c r="B171" i="1"/>
  <c r="B181" i="1"/>
  <c r="B170" i="1"/>
  <c r="B186" i="1"/>
  <c r="B164" i="1"/>
  <c r="B175" i="1"/>
  <c r="B166" i="1"/>
  <c r="B174" i="1"/>
  <c r="B172" i="1"/>
  <c r="B184" i="1"/>
  <c r="H113" i="7"/>
  <c r="B180" i="1"/>
  <c r="B199" i="1"/>
  <c r="B188" i="1"/>
  <c r="B165" i="1"/>
  <c r="B185" i="1"/>
  <c r="B168" i="1"/>
  <c r="H114" i="7"/>
  <c r="B198" i="1"/>
  <c r="B197" i="1"/>
  <c r="B179" i="1"/>
  <c r="B191" i="1"/>
  <c r="C156" i="1"/>
  <c r="B192" i="1"/>
  <c r="E128" i="7"/>
  <c r="F128" i="7" s="1"/>
  <c r="B194" i="1"/>
  <c r="B173" i="1"/>
  <c r="B182" i="1"/>
  <c r="B190" i="1"/>
  <c r="B193" i="1"/>
  <c r="B176" i="1"/>
  <c r="B183" i="1"/>
  <c r="B195" i="1"/>
  <c r="F132" i="1"/>
  <c r="C134" i="1" s="1"/>
  <c r="B189" i="1"/>
  <c r="B162" i="1"/>
  <c r="B169" i="1"/>
  <c r="B196" i="1"/>
  <c r="H31" i="7"/>
  <c r="B161" i="1"/>
  <c r="B167" i="1"/>
  <c r="H54" i="7"/>
  <c r="B187" i="1"/>
  <c r="B158" i="1"/>
  <c r="H57" i="7"/>
  <c r="F150" i="1"/>
  <c r="B151" i="1" s="1"/>
  <c r="H115" i="7" l="1"/>
  <c r="S25" i="6"/>
  <c r="D31" i="7"/>
  <c r="D156" i="1"/>
  <c r="H19" i="7"/>
  <c r="C118" i="1"/>
  <c r="P29" i="1"/>
  <c r="B120" i="1"/>
  <c r="H56" i="7"/>
  <c r="E129" i="7"/>
  <c r="F129" i="7" s="1"/>
  <c r="B153" i="1"/>
  <c r="C132" i="1"/>
  <c r="C151" i="1"/>
  <c r="C149" i="1"/>
  <c r="B134" i="1"/>
  <c r="B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B12"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B18"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3"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B27"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3"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4"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0"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1"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4"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5"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8"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t>
        </r>
        <r>
          <rPr>
            <i/>
            <sz val="8"/>
            <color indexed="8"/>
            <rFont val="Tahoma"/>
            <family val="2"/>
          </rPr>
          <t>Average values :</t>
        </r>
        <r>
          <rPr>
            <sz val="8"/>
            <color indexed="8"/>
            <rFont val="Tahoma"/>
            <family val="2"/>
          </rPr>
          <t xml:space="preserve">
MicroFusée                  : 1m  :    </t>
        </r>
        <r>
          <rPr>
            <i/>
            <sz val="8"/>
            <color indexed="8"/>
            <rFont val="Tahoma"/>
            <family val="2"/>
          </rPr>
          <t>Micro-rocket</t>
        </r>
        <r>
          <rPr>
            <sz val="8"/>
            <color indexed="8"/>
            <rFont val="Tahoma"/>
            <family val="2"/>
          </rPr>
          <t xml:space="preserve">
MiniFusée                    : 2m5:   </t>
        </r>
        <r>
          <rPr>
            <i/>
            <sz val="8"/>
            <color indexed="8"/>
            <rFont val="Tahoma"/>
            <family val="2"/>
          </rPr>
          <t xml:space="preserve"> Mini-rocket
Rocketry Challenge    </t>
        </r>
        <r>
          <rPr>
            <sz val="8"/>
            <color indexed="8"/>
            <rFont val="Tahoma"/>
            <family val="2"/>
          </rPr>
          <t xml:space="preserve">: 3m
Fusée Expérimentale  : 4m  :   </t>
        </r>
        <r>
          <rPr>
            <i/>
            <sz val="8"/>
            <color indexed="8"/>
            <rFont val="Tahoma"/>
            <family val="2"/>
          </rPr>
          <t>Experimental Rocket</t>
        </r>
      </text>
    </comment>
    <comment ref="B19"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0"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3"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3"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4"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7"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B28"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M28"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3"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0"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0"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0"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0"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1"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2"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6"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3"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<sst xmlns="http://schemas.openxmlformats.org/spreadsheetml/2006/main" count="1716" uniqueCount="560">
  <si>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</si>
  <si>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</si>
  <si>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</si>
  <si>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</si>
  <si>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</si>
  <si>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</si>
  <si>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</si>
  <si>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</si>
  <si>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</si>
  <si>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</si>
  <si>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</si>
  <si>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</si>
  <si>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</si>
  <si>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</si>
  <si>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</si>
  <si>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</si>
  <si>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</si>
  <si>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</si>
  <si>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</si>
  <si>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</si>
  <si>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</si>
  <si>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</si>
  <si>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</si>
  <si>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</si>
  <si>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</si>
  <si>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</si>
  <si>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</si>
  <si>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</si>
  <si>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</si>
  <si>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</si>
  <si>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</si>
  <si>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</si>
  <si>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</si>
  <si>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</si>
  <si>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</si>
  <si>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</si>
  <si>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</si>
  <si>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Pro75-2G</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</si>
  <si>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</si>
  <si>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</si>
  <si>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</si>
  <si>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</si>
  <si>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</si>
  <si>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</si>
  <si>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</si>
  <si>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</si>
  <si>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</si>
  <si>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</si>
  <si>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</si>
  <si>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</si>
  <si>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</si>
  <si>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</si>
  <si>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</si>
  <si>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</si>
  <si>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</si>
  <si>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</si>
  <si>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</si>
  <si>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</si>
  <si>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</si>
  <si>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</si>
  <si>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</si>
  <si>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</si>
  <si>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</si>
  <si>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</si>
  <si>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</si>
  <si>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</si>
  <si>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</si>
  <si>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</si>
  <si>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</si>
  <si>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</si>
  <si>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</si>
  <si>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</si>
  <si>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</si>
  <si>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</si>
  <si>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</si>
  <si>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</si>
  <si>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</si>
  <si>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</si>
  <si>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</si>
  <si>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</si>
  <si>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</si>
  <si>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</si>
  <si>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</si>
  <si>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</si>
  <si>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</si>
  <si>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</si>
  <si>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</si>
  <si>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</si>
  <si>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</si>
  <si>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</si>
  <si>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</si>
  <si>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</si>
  <si>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</si>
  <si>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</si>
  <si>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</si>
  <si>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</si>
  <si>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</si>
  <si>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</si>
  <si>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</si>
  <si>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</si>
  <si>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</si>
  <si>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</si>
  <si>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</si>
  <si>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</si>
  <si>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</si>
  <si>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</si>
  <si>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</si>
  <si>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</si>
  <si>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</si>
  <si>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</si>
  <si>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</si>
  <si>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</si>
  <si>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</si>
  <si>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</si>
  <si>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</si>
  <si>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</si>
  <si>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</si>
  <si>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</si>
  <si>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</si>
  <si>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</si>
  <si>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</si>
  <si>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</si>
  <si>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</si>
  <si>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</si>
  <si>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</si>
  <si>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</si>
  <si>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</si>
  <si>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</si>
  <si>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</si>
  <si>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</si>
  <si>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</si>
  <si>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</si>
  <si>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</si>
  <si>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</si>
  <si>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</si>
  <si>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</si>
  <si>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</si>
  <si>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</si>
  <si>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</si>
  <si>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</si>
  <si>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</si>
  <si>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</si>
  <si>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</si>
  <si>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</si>
  <si>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</si>
  <si>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</si>
  <si>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</si>
  <si>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</si>
  <si>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</si>
  <si>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</si>
  <si>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</si>
  <si>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</si>
  <si>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</si>
  <si>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</si>
  <si>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</si>
  <si>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</si>
  <si>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</si>
  <si>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</si>
  <si>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</si>
  <si>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</si>
  <si>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</si>
  <si>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</si>
  <si>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</si>
  <si>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</si>
  <si>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</si>
  <si>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</si>
  <si>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</si>
  <si>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</si>
  <si>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</si>
  <si>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</si>
  <si>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</si>
  <si>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</si>
  <si>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</si>
  <si>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</si>
  <si>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</si>
  <si>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</si>
  <si>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</si>
  <si>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</si>
  <si>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</si>
  <si>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</si>
  <si>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</si>
  <si>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</si>
  <si>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</si>
  <si>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</si>
  <si>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</si>
  <si>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</si>
  <si>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</si>
  <si>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</si>
  <si>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</si>
  <si>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</si>
  <si>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</si>
  <si>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</si>
  <si>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</si>
  <si>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</si>
  <si>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</si>
  <si>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</si>
  <si>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</si>
  <si>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</si>
  <si>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</si>
  <si>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</si>
  <si>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</si>
  <si>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</si>
  <si>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</si>
  <si>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</si>
  <si>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</si>
  <si>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</si>
  <si>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</si>
  <si>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</si>
  <si>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</si>
  <si>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</si>
  <si>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</si>
  <si>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</si>
  <si>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</si>
  <si>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</si>
  <si>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</si>
  <si>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</si>
  <si>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</si>
  <si>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</si>
  <si>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</si>
  <si>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</si>
  <si>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</si>
  <si>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</si>
  <si>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</si>
  <si>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</si>
  <si>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</si>
  <si>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</si>
  <si>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</si>
  <si>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</si>
  <si>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</si>
  <si>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</si>
  <si>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</si>
  <si>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</si>
  <si>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</si>
  <si>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</si>
  <si>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</si>
  <si>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</si>
  <si>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</si>
  <si>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</si>
  <si>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</si>
  <si>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</si>
  <si>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</si>
  <si>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</si>
  <si>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</si>
  <si>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</si>
  <si>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</si>
  <si>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</si>
  <si>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</si>
  <si>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</si>
  <si>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</si>
  <si>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</si>
  <si>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</si>
  <si>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</si>
  <si>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</si>
  <si>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</si>
  <si>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</si>
  <si>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</si>
  <si>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</si>
  <si>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</si>
  <si>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</si>
  <si>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</si>
  <si>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</si>
  <si>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</si>
  <si>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</si>
  <si>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</si>
  <si>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</si>
  <si>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</si>
  <si>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</si>
  <si>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</si>
  <si>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</si>
  <si>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</si>
  <si>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</si>
  <si>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</si>
  <si>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</si>
  <si>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</si>
  <si>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</si>
  <si>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</si>
  <si>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</si>
  <si>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</si>
  <si>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</si>
  <si>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</si>
  <si>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</si>
  <si>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</si>
  <si>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</si>
  <si>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</si>
  <si>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</si>
  <si>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</si>
  <si>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</si>
  <si>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</si>
  <si>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</si>
  <si>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</si>
  <si>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</si>
  <si>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</si>
  <si>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</si>
  <si>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</si>
  <si>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</si>
  <si>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</si>
  <si>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</si>
  <si>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</si>
  <si>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</si>
  <si>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</si>
  <si>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</si>
  <si>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</si>
  <si>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</si>
  <si>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</si>
  <si>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</si>
  <si>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</si>
  <si>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</si>
  <si>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</si>
  <si>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</si>
  <si>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</si>
  <si>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</si>
  <si>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</si>
  <si>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</si>
  <si>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</si>
  <si>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</si>
  <si>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</si>
  <si>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</si>
  <si>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</si>
  <si>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</si>
  <si>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Pro98-2G WT</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</si>
  <si>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</si>
  <si>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</si>
  <si>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</si>
  <si>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</si>
  <si>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</si>
  <si>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</si>
  <si>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</si>
  <si>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</si>
  <si>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</si>
  <si>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</si>
  <si>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</si>
  <si>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</si>
  <si>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</si>
  <si>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</si>
  <si>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</si>
  <si>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</si>
  <si>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</si>
  <si>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</si>
  <si>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</si>
  <si>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</si>
  <si>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</si>
  <si>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</si>
  <si>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</si>
  <si>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</si>
  <si>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</si>
  <si>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</si>
  <si>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</si>
  <si>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</si>
  <si>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</si>
  <si>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</si>
  <si>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</si>
  <si>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</si>
  <si>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</si>
  <si>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</si>
  <si>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</si>
  <si>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</si>
  <si>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</si>
  <si>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</si>
  <si>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</si>
  <si>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</si>
  <si>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</si>
  <si>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</si>
  <si>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</si>
  <si>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</si>
  <si>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</si>
  <si>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</si>
  <si>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</si>
  <si>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</si>
  <si>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</si>
  <si>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</si>
  <si>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</si>
  <si>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</si>
  <si>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</si>
  <si>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</si>
  <si>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</si>
  <si>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</si>
  <si>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</si>
  <si>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</si>
  <si>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</si>
  <si>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</si>
  <si>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</si>
  <si>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</si>
  <si>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</si>
  <si>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</si>
  <si>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</si>
  <si>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</si>
  <si>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</si>
  <si>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</si>
  <si>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</si>
  <si>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</si>
  <si>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</si>
  <si>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</si>
  <si>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</si>
  <si>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</si>
  <si>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</si>
  <si>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</si>
  <si>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</si>
  <si>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</si>
  <si>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</si>
  <si>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</si>
  <si>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</si>
  <si>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</si>
  <si>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</si>
  <si>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</si>
  <si>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</si>
  <si>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</si>
  <si>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</si>
  <si>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</si>
  <si>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</si>
  <si>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</si>
  <si>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</si>
  <si>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</si>
  <si>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</si>
  <si>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</si>
  <si>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</si>
  <si>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</si>
  <si>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</si>
  <si>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</si>
  <si>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</si>
  <si>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</si>
  <si>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</si>
  <si>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</si>
  <si>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</si>
  <si>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</si>
  <si>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</si>
  <si>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</si>
  <si>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</si>
  <si>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</si>
  <si>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</si>
  <si>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</si>
  <si>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</si>
  <si>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</si>
  <si>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</si>
  <si>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</si>
  <si>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</si>
  <si>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</si>
  <si>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</si>
  <si>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</si>
  <si>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</si>
  <si>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</si>
  <si>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</si>
  <si>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</si>
  <si>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</si>
  <si>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</si>
  <si>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</si>
  <si>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</si>
  <si>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</si>
  <si>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</si>
  <si>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</si>
  <si>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</si>
  <si>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</si>
  <si>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</si>
  <si>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</si>
  <si>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</si>
  <si>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</si>
  <si>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</si>
  <si>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</si>
  <si>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</si>
  <si>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</si>
  <si>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</si>
  <si>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</si>
  <si>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</si>
  <si>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</si>
  <si>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</si>
  <si>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</si>
  <si>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</si>
  <si>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</si>
  <si>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</si>
  <si>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</si>
  <si>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</si>
  <si>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</si>
  <si>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</si>
  <si>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</si>
  <si>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</si>
  <si>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</si>
  <si>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</si>
  <si>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</si>
  <si>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</si>
  <si>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</si>
  <si>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</si>
  <si>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</si>
  <si>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</si>
  <si>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</si>
  <si>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</si>
  <si>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</si>
  <si>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</si>
  <si>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</si>
  <si>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</si>
  <si>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</si>
  <si>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</si>
  <si>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</si>
  <si>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</si>
  <si>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</si>
  <si>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</si>
  <si>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</si>
  <si>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</si>
  <si>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</si>
  <si>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</si>
  <si>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</si>
  <si>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</si>
  <si>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</si>
  <si>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</si>
  <si>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</si>
  <si>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</si>
  <si>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</si>
  <si>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</si>
  <si>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</si>
  <si>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</si>
  <si>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</si>
  <si>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</si>
  <si>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</si>
  <si>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</si>
  <si>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</si>
  <si>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</si>
  <si>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</si>
  <si>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</si>
  <si>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</si>
  <si>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</si>
  <si>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</si>
  <si>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</si>
  <si>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</si>
  <si>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</si>
  <si>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</si>
  <si>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</si>
  <si>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</si>
  <si>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</si>
  <si>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</si>
  <si>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</si>
  <si>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</si>
  <si>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</si>
  <si>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</si>
  <si>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</si>
  <si>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</si>
  <si>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</si>
  <si>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</si>
  <si>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</si>
  <si>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</si>
  <si>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</si>
  <si>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</si>
  <si>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</si>
  <si>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</si>
  <si>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</si>
  <si>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</si>
  <si>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</si>
  <si>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</si>
  <si>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</si>
  <si>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v3.4.2</t>
  </si>
  <si>
    <t>p29-1G 56F31</t>
  </si>
  <si>
    <t xml:space="preserve"> 143G150 BS</t>
  </si>
  <si>
    <t>StabTraj V3.4.2</t>
  </si>
  <si>
    <t>Ogivale (pointue)</t>
  </si>
  <si>
    <t>Ajout propu</t>
  </si>
  <si>
    <t>Fusée mono-diamètre,</t>
  </si>
  <si>
    <t>Pandora (Pro24-6G BS)</t>
  </si>
  <si>
    <t>Barasinga (Pro54-5G C)</t>
  </si>
  <si>
    <t>Orignal (Pro75-3G C)</t>
  </si>
  <si>
    <t>Blastocerus (Pro98-6GXL RL)</t>
  </si>
  <si>
    <t>Indra</t>
  </si>
  <si>
    <t>Space'Tech Orléans</t>
  </si>
  <si>
    <t>Fusée expérimentale.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</si>
</sst>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1"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s>
  <fills count="34">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s>
  <borders count="103">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s>
  <cellStyleXfs count="3">
    <xf numFmtId="0" fontId="0" fillId="0" borderId="0"/>
    <xf numFmtId="0" fontId="10" fillId="0" borderId="0" applyNumberFormat="0" applyFill="0" applyBorder="0" applyAlignment="0" applyProtection="0"/>
    <xf numFmtId="0" fontId="1" fillId="0" borderId="0"/>
  </cellStyleXfs>
  <cellXfs count="795">
    <xf numFmtId="0" fontId="0" fillId="0" borderId="0" xfId="0"/>
    <xf numFmtId="0" fontId="0" fillId="0" borderId="0" xfId="0" applyAlignment="1">
      <alignment vertical="center"/>
    </xf>
    <xf numFmtId="0" fontId="2" fillId="0" borderId="0" xfId="0" applyFont="1" applyBorder="1"/>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0" fillId="0" borderId="0" xfId="0" applyFont="1" applyBorder="1" applyAlignment="1">
      <alignment vertical="center"/>
    </xf>
    <xf numFmtId="0" fontId="0" fillId="0" borderId="0" xfId="0" applyFont="1" applyFill="1" applyBorder="1" applyAlignment="1">
      <alignment horizontal="center" vertical="center"/>
    </xf>
    <xf numFmtId="0" fontId="2" fillId="0" borderId="0" xfId="0" applyFont="1" applyBorder="1" applyAlignment="1">
      <alignment horizontal="center"/>
    </xf>
    <xf numFmtId="0" fontId="0" fillId="0" borderId="0" xfId="0" applyFont="1" applyFill="1" applyBorder="1" applyAlignment="1">
      <alignment vertical="center"/>
    </xf>
    <xf numFmtId="0" fontId="2" fillId="0" borderId="0" xfId="0" applyFont="1" applyBorder="1" applyAlignment="1">
      <alignment vertical="center"/>
    </xf>
    <xf numFmtId="2" fontId="0" fillId="0" borderId="0" xfId="0" applyNumberFormat="1" applyFill="1" applyAlignment="1">
      <alignment horizontal="center"/>
    </xf>
    <xf numFmtId="2" fontId="7" fillId="0" borderId="0" xfId="0" applyNumberFormat="1" applyFont="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7" fillId="0" borderId="0" xfId="0" applyFont="1" applyFill="1" applyAlignment="1">
      <alignment horizontal="center"/>
    </xf>
    <xf numFmtId="0" fontId="7" fillId="0" borderId="1" xfId="0" applyFont="1" applyFill="1" applyBorder="1" applyAlignment="1">
      <alignment horizontal="center"/>
    </xf>
    <xf numFmtId="0" fontId="0" fillId="0" borderId="0" xfId="0" applyAlignment="1">
      <alignment horizontal="center"/>
    </xf>
    <xf numFmtId="0" fontId="6" fillId="0" borderId="0" xfId="0" applyFont="1" applyBorder="1"/>
    <xf numFmtId="0" fontId="2" fillId="0" borderId="0" xfId="0" applyFont="1"/>
    <xf numFmtId="0" fontId="9" fillId="0" borderId="0" xfId="0" applyFont="1"/>
    <xf numFmtId="0" fontId="10" fillId="0" borderId="0" xfId="1" applyNumberFormat="1" applyFont="1" applyFill="1" applyBorder="1" applyAlignment="1" applyProtection="1"/>
    <xf numFmtId="14" fontId="0" fillId="0" borderId="0" xfId="0" applyNumberFormat="1" applyAlignment="1">
      <alignment horizontal="left"/>
    </xf>
    <xf numFmtId="0" fontId="0" fillId="0" borderId="0" xfId="0" applyFont="1" applyFill="1" applyBorder="1"/>
    <xf numFmtId="0" fontId="0" fillId="0" borderId="0" xfId="0" applyFill="1" applyBorder="1"/>
    <xf numFmtId="0" fontId="10" fillId="0" borderId="0" xfId="1" applyNumberFormat="1" applyFill="1" applyBorder="1" applyAlignment="1" applyProtection="1"/>
    <xf numFmtId="171" fontId="2" fillId="3" borderId="2" xfId="0" applyNumberFormat="1" applyFont="1" applyFill="1" applyBorder="1" applyAlignment="1" applyProtection="1">
      <alignment horizontal="center" vertical="center"/>
      <protection locked="0"/>
    </xf>
    <xf numFmtId="0" fontId="0" fillId="0" borderId="0" xfId="0" applyFont="1" applyBorder="1" applyAlignment="1">
      <alignment horizontal="center" vertical="center"/>
    </xf>
    <xf numFmtId="0" fontId="16" fillId="0" borderId="0" xfId="0" applyFont="1" applyBorder="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applyBorder="1"/>
    <xf numFmtId="0" fontId="2" fillId="0" borderId="0" xfId="2" applyFont="1"/>
    <xf numFmtId="0" fontId="2" fillId="0" borderId="6" xfId="2" applyFont="1" applyBorder="1"/>
    <xf numFmtId="0" fontId="15" fillId="0" borderId="0" xfId="2" applyFont="1" applyBorder="1" applyProtection="1">
      <protection hidden="1"/>
    </xf>
    <xf numFmtId="0" fontId="1" fillId="0" borderId="7" xfId="2" applyBorder="1"/>
    <xf numFmtId="0" fontId="4" fillId="0" borderId="0" xfId="2" applyFont="1" applyBorder="1"/>
    <xf numFmtId="0" fontId="2" fillId="0" borderId="7" xfId="2" applyFont="1" applyBorder="1"/>
    <xf numFmtId="0" fontId="2" fillId="0" borderId="0" xfId="2" applyFont="1" applyBorder="1" applyAlignment="1" applyProtection="1">
      <alignment horizontal="center"/>
      <protection hidden="1"/>
    </xf>
    <xf numFmtId="0" fontId="2" fillId="0" borderId="0" xfId="2" applyFont="1" applyBorder="1" applyAlignment="1">
      <alignment horizontal="center"/>
    </xf>
    <xf numFmtId="0" fontId="16" fillId="0" borderId="0" xfId="2" applyFont="1" applyBorder="1"/>
    <xf numFmtId="0" fontId="2" fillId="0" borderId="0" xfId="2" applyFont="1" applyBorder="1" applyAlignment="1" applyProtection="1">
      <protection hidden="1"/>
    </xf>
    <xf numFmtId="0" fontId="2" fillId="0" borderId="0" xfId="2" applyFont="1" applyBorder="1" applyProtection="1">
      <protection hidden="1"/>
    </xf>
    <xf numFmtId="0" fontId="2" fillId="0" borderId="0" xfId="2" applyFont="1" applyFill="1" applyBorder="1" applyAlignment="1">
      <alignment horizontal="center"/>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Border="1" applyProtection="1">
      <protection hidden="1"/>
    </xf>
    <xf numFmtId="0" fontId="2" fillId="0" borderId="0" xfId="2" applyFont="1" applyFill="1" applyBorder="1" applyAlignment="1" applyProtection="1">
      <alignment horizontal="center"/>
      <protection hidden="1"/>
    </xf>
    <xf numFmtId="0" fontId="2" fillId="0" borderId="0" xfId="2" applyFont="1" applyAlignment="1">
      <alignment horizontal="center"/>
    </xf>
    <xf numFmtId="0" fontId="2" fillId="0" borderId="0" xfId="2" applyFont="1" applyBorder="1" applyAlignment="1"/>
    <xf numFmtId="0" fontId="15" fillId="0" borderId="0" xfId="2" applyFont="1" applyBorder="1"/>
    <xf numFmtId="14" fontId="15" fillId="0" borderId="0" xfId="2" applyNumberFormat="1" applyFont="1" applyBorder="1" applyAlignment="1" applyProtection="1">
      <alignment horizontal="center"/>
      <protection hidden="1"/>
    </xf>
    <xf numFmtId="0" fontId="15" fillId="0" borderId="0" xfId="2" applyFont="1" applyProtection="1">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Alignment="1" applyProtection="1">
      <protection locked="0"/>
    </xf>
    <xf numFmtId="0" fontId="2" fillId="0" borderId="10" xfId="2" applyFont="1" applyBorder="1" applyProtection="1">
      <protection locked="0"/>
    </xf>
    <xf numFmtId="0" fontId="2" fillId="0" borderId="0" xfId="2" applyFont="1" applyBorder="1" applyProtection="1">
      <protection locked="0"/>
    </xf>
    <xf numFmtId="0" fontId="2" fillId="0" borderId="0" xfId="2" applyFont="1" applyBorder="1" applyAlignment="1" applyProtection="1">
      <alignment horizontal="center"/>
      <protection locked="0"/>
    </xf>
    <xf numFmtId="0" fontId="15" fillId="0" borderId="0" xfId="2" applyFont="1" applyBorder="1" applyAlignment="1" applyProtection="1">
      <protection hidden="1"/>
    </xf>
    <xf numFmtId="0" fontId="15" fillId="0" borderId="0" xfId="2" applyFont="1"/>
    <xf numFmtId="0" fontId="15" fillId="0" borderId="0" xfId="2" applyFont="1" applyBorder="1" applyAlignment="1"/>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applyFill="1" applyBorder="1"/>
    <xf numFmtId="0" fontId="26" fillId="0" borderId="0" xfId="0" applyFont="1"/>
    <xf numFmtId="14" fontId="0" fillId="0" borderId="0" xfId="0" applyNumberFormat="1" applyFont="1" applyBorder="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Fill="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0" xfId="0" applyBorder="1"/>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Font="1" applyFill="1" applyBorder="1" applyAlignment="1" applyProtection="1">
      <alignment vertical="center"/>
      <protection hidden="1"/>
    </xf>
    <xf numFmtId="169" fontId="0" fillId="0" borderId="0" xfId="0" applyNumberFormat="1" applyFont="1" applyFill="1" applyBorder="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NumberFormat="1"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Border="1" applyAlignment="1">
      <alignment horizontal="center"/>
    </xf>
    <xf numFmtId="0" fontId="0" fillId="0" borderId="9" xfId="0" applyBorder="1"/>
    <xf numFmtId="0" fontId="0" fillId="0" borderId="10" xfId="0" applyFont="1" applyFill="1" applyBorder="1"/>
    <xf numFmtId="0" fontId="0" fillId="0" borderId="13" xfId="0" applyBorder="1"/>
    <xf numFmtId="0" fontId="0" fillId="0" borderId="10" xfId="0" applyBorder="1"/>
    <xf numFmtId="1" fontId="0" fillId="0" borderId="0" xfId="0" applyNumberFormat="1" applyFont="1" applyFill="1" applyBorder="1" applyAlignment="1">
      <alignment horizontal="center"/>
    </xf>
    <xf numFmtId="165"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xf>
    <xf numFmtId="182" fontId="2" fillId="0" borderId="12" xfId="0" applyNumberFormat="1" applyFont="1" applyFill="1" applyBorder="1" applyAlignment="1">
      <alignment horizontal="center"/>
    </xf>
    <xf numFmtId="1" fontId="2" fillId="0" borderId="12" xfId="0" applyNumberFormat="1" applyFont="1" applyFill="1" applyBorder="1" applyAlignment="1">
      <alignment horizontal="center"/>
    </xf>
    <xf numFmtId="165" fontId="2" fillId="0" borderId="12" xfId="0" applyNumberFormat="1" applyFont="1" applyFill="1" applyBorder="1" applyAlignment="1">
      <alignment horizontal="center" vertical="center"/>
    </xf>
    <xf numFmtId="165" fontId="2" fillId="0" borderId="12" xfId="0" applyNumberFormat="1" applyFont="1" applyFill="1" applyBorder="1" applyAlignment="1">
      <alignment horizontal="center"/>
    </xf>
    <xf numFmtId="0" fontId="0" fillId="0" borderId="0" xfId="2" applyFont="1" applyBorder="1" applyAlignment="1" applyProtection="1">
      <alignment horizontal="center"/>
      <protection hidden="1"/>
    </xf>
    <xf numFmtId="0" fontId="0" fillId="0" borderId="0" xfId="0" applyNumberFormat="1" applyAlignment="1">
      <alignment horizontal="center"/>
    </xf>
    <xf numFmtId="0" fontId="8" fillId="0" borderId="4" xfId="2" applyFont="1" applyBorder="1"/>
    <xf numFmtId="0" fontId="8" fillId="0" borderId="0" xfId="2" applyFont="1" applyBorder="1"/>
    <xf numFmtId="0" fontId="8" fillId="0" borderId="0" xfId="2" applyFont="1" applyBorder="1" applyAlignment="1" applyProtection="1">
      <protection hidden="1"/>
    </xf>
    <xf numFmtId="0" fontId="8" fillId="0" borderId="0" xfId="2" applyFont="1" applyBorder="1" applyProtection="1">
      <protection hidden="1"/>
    </xf>
    <xf numFmtId="0" fontId="8" fillId="0" borderId="0" xfId="2" applyFont="1" applyBorder="1" applyAlignment="1"/>
    <xf numFmtId="0" fontId="8" fillId="0" borderId="10" xfId="2" applyFont="1" applyBorder="1" applyAlignment="1" applyProtection="1">
      <protection locked="0"/>
    </xf>
    <xf numFmtId="0" fontId="8" fillId="0" borderId="0" xfId="2" applyFont="1"/>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8" fillId="0" borderId="0" xfId="2" applyFont="1" applyProtection="1">
      <protection hidden="1"/>
    </xf>
    <xf numFmtId="0" fontId="31" fillId="0" borderId="0" xfId="2" applyFont="1" applyBorder="1"/>
    <xf numFmtId="0" fontId="0" fillId="0" borderId="0" xfId="0" applyBorder="1"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applyBorder="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Border="1" applyProtection="1">
      <protection hidden="1"/>
    </xf>
    <xf numFmtId="2" fontId="0" fillId="7" borderId="15" xfId="0" applyNumberFormat="1" applyFill="1" applyBorder="1" applyAlignment="1">
      <alignment horizontal="center" vertical="center"/>
    </xf>
    <xf numFmtId="165" fontId="0" fillId="7" borderId="15" xfId="0" applyNumberFormat="1" applyFon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0" fillId="7" borderId="15" xfId="0" applyNumberFormat="1" applyFon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ont="1" applyFill="1" applyBorder="1" applyAlignment="1">
      <alignment horizontal="center" vertical="center"/>
    </xf>
    <xf numFmtId="1" fontId="2" fillId="7" borderId="16"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ont="1" applyFill="1" applyBorder="1" applyAlignment="1">
      <alignment horizontal="center" vertical="center"/>
    </xf>
    <xf numFmtId="0" fontId="0" fillId="7" borderId="17" xfId="0" applyFont="1" applyFill="1" applyBorder="1" applyAlignment="1">
      <alignment horizontal="center" vertical="center"/>
    </xf>
    <xf numFmtId="1" fontId="0" fillId="7" borderId="17" xfId="0" applyNumberFormat="1"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ont="1"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pplyProtection="1">
      <alignment horizontal="center" vertical="center"/>
    </xf>
    <xf numFmtId="0" fontId="0" fillId="13" borderId="15" xfId="0" applyFont="1"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on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ont="1"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Fon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15" fillId="0" borderId="0" xfId="2" applyFont="1" applyBorder="1" applyAlignment="1" applyProtection="1">
      <alignment horizontal="center"/>
      <protection hidden="1"/>
    </xf>
    <xf numFmtId="0" fontId="0" fillId="0" borderId="10" xfId="0" applyFont="1"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15" fillId="0" borderId="0"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1" fontId="8" fillId="0" borderId="0" xfId="2" applyNumberFormat="1" applyFont="1" applyBorder="1" applyAlignment="1" applyProtection="1">
      <alignment horizontal="center"/>
      <protection hidden="1"/>
    </xf>
    <xf numFmtId="0" fontId="0" fillId="0" borderId="21" xfId="2" applyFont="1" applyBorder="1" applyAlignment="1" applyProtection="1">
      <alignment horizontal="center"/>
      <protection hidden="1"/>
    </xf>
    <xf numFmtId="165" fontId="0" fillId="0" borderId="19" xfId="0" applyNumberFormat="1" applyFont="1" applyBorder="1" applyAlignment="1">
      <alignment horizontal="center" vertical="center"/>
    </xf>
    <xf numFmtId="1" fontId="0" fillId="0" borderId="20" xfId="0" applyNumberFormat="1" applyFont="1" applyBorder="1" applyAlignment="1">
      <alignment horizontal="center" vertical="center"/>
    </xf>
    <xf numFmtId="165" fontId="0" fillId="0" borderId="21" xfId="0" applyNumberFormat="1" applyFont="1" applyBorder="1" applyAlignment="1">
      <alignment horizontal="center" vertical="center"/>
    </xf>
    <xf numFmtId="1" fontId="0" fillId="0" borderId="23" xfId="0" applyNumberFormat="1" applyFont="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1" fontId="0" fillId="0" borderId="19" xfId="0" applyNumberFormat="1" applyFont="1" applyBorder="1" applyAlignment="1">
      <alignment horizontal="center" vertical="center"/>
    </xf>
    <xf numFmtId="1" fontId="0" fillId="0" borderId="21" xfId="0" applyNumberFormat="1" applyFont="1" applyBorder="1" applyAlignment="1">
      <alignment horizontal="center" vertical="center"/>
    </xf>
    <xf numFmtId="0" fontId="0" fillId="0" borderId="23" xfId="0" applyFont="1"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applyBorder="1" applyAlignme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2" applyFont="1" applyAlignment="1" applyProtection="1">
      <alignment horizontal="center"/>
      <protection hidden="1"/>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Font="1" applyBorder="1" applyAlignment="1">
      <alignment horizontal="center" vertical="center"/>
    </xf>
    <xf numFmtId="1" fontId="0" fillId="0" borderId="23" xfId="0" applyNumberFormat="1" applyBorder="1" applyAlignment="1">
      <alignment horizontal="center" vertical="center"/>
    </xf>
    <xf numFmtId="0" fontId="0" fillId="0" borderId="19" xfId="0" applyBorder="1" applyAlignment="1">
      <alignment horizontal="center" vertical="center"/>
    </xf>
    <xf numFmtId="1" fontId="0" fillId="0" borderId="0" xfId="0" applyNumberFormat="1" applyBorder="1" applyAlignment="1">
      <alignment horizontal="center" vertical="center"/>
    </xf>
    <xf numFmtId="1" fontId="0" fillId="0" borderId="20" xfId="0" applyNumberFormat="1"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0" fontId="0" fillId="0" borderId="0" xfId="0" applyBorder="1" applyAlignment="1">
      <alignment horizontal="center"/>
    </xf>
    <xf numFmtId="0" fontId="0" fillId="0" borderId="0" xfId="0" applyBorder="1" applyAlignment="1">
      <alignment horizontal="right"/>
    </xf>
    <xf numFmtId="1" fontId="2" fillId="0" borderId="0" xfId="0" applyNumberFormat="1" applyFont="1" applyBorder="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Border="1" applyAlignment="1">
      <alignment horizontal="center" vertical="center"/>
    </xf>
    <xf numFmtId="165" fontId="2" fillId="0" borderId="0" xfId="0" applyNumberFormat="1" applyFont="1" applyBorder="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Font="1" applyBorder="1" applyAlignment="1">
      <alignment horizontal="left"/>
    </xf>
    <xf numFmtId="0" fontId="0" fillId="0" borderId="0" xfId="0" applyBorder="1" applyAlignment="1">
      <alignment horizontal="center" vertical="center"/>
    </xf>
    <xf numFmtId="165" fontId="2" fillId="0" borderId="0" xfId="0" applyNumberFormat="1" applyFont="1" applyFill="1" applyBorder="1" applyAlignment="1">
      <alignment horizontal="center" vertical="center"/>
    </xf>
    <xf numFmtId="0" fontId="2" fillId="4" borderId="0" xfId="0" applyFont="1" applyFill="1" applyBorder="1" applyAlignment="1" applyProtection="1">
      <alignment horizontal="center" vertical="center"/>
      <protection locked="0"/>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Fill="1" applyBorder="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0" xfId="0" applyFont="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0" fontId="2" fillId="0" borderId="0" xfId="0" applyFont="1" applyBorder="1" applyAlignment="1"/>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Border="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applyAlignment="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pplyProtection="1">
      <alignment horizontal="right" vertical="center"/>
    </xf>
    <xf numFmtId="0" fontId="30" fillId="0" borderId="13" xfId="2" applyFont="1" applyBorder="1" applyAlignment="1" applyProtection="1">
      <alignment horizontal="right"/>
    </xf>
    <xf numFmtId="2" fontId="7" fillId="0" borderId="0" xfId="0" applyNumberFormat="1" applyFont="1" applyFill="1" applyBorder="1" applyAlignment="1">
      <alignment horizontal="center"/>
    </xf>
    <xf numFmtId="2" fontId="7" fillId="0" borderId="0" xfId="0" applyNumberFormat="1" applyFont="1" applyBorder="1" applyAlignment="1">
      <alignment horizontal="center"/>
    </xf>
    <xf numFmtId="2" fontId="0" fillId="0" borderId="0" xfId="0" applyNumberFormat="1" applyBorder="1" applyAlignment="1">
      <alignment horizontal="center"/>
    </xf>
    <xf numFmtId="2" fontId="0" fillId="16" borderId="31" xfId="0" applyNumberFormat="1" applyFont="1" applyFill="1" applyBorder="1" applyAlignment="1">
      <alignment horizontal="center"/>
    </xf>
    <xf numFmtId="2" fontId="0" fillId="16" borderId="33" xfId="0" applyNumberFormat="1" applyFont="1" applyFill="1" applyBorder="1" applyAlignment="1">
      <alignment horizontal="center"/>
    </xf>
    <xf numFmtId="2" fontId="0" fillId="16" borderId="32" xfId="0" applyNumberFormat="1" applyFont="1" applyFill="1" applyBorder="1" applyAlignment="1">
      <alignment horizontal="center"/>
    </xf>
    <xf numFmtId="0" fontId="0" fillId="16" borderId="31" xfId="0" applyNumberFormat="1" applyFont="1" applyFill="1" applyBorder="1" applyAlignment="1">
      <alignment horizontal="center"/>
    </xf>
    <xf numFmtId="0" fontId="0" fillId="16" borderId="33" xfId="0" applyNumberFormat="1" applyFont="1" applyFill="1" applyBorder="1" applyAlignment="1">
      <alignment horizontal="center"/>
    </xf>
    <xf numFmtId="0" fontId="0" fillId="16" borderId="32" xfId="0" applyNumberFormat="1" applyFont="1" applyFill="1" applyBorder="1" applyAlignment="1">
      <alignment horizontal="center"/>
    </xf>
    <xf numFmtId="2" fontId="0" fillId="0" borderId="0" xfId="0" applyNumberFormat="1" applyAlignmen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Border="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NumberFormat="1" applyFill="1" applyBorder="1" applyAlignment="1"/>
    <xf numFmtId="0" fontId="0" fillId="21" borderId="0" xfId="0" applyNumberFormat="1" applyFill="1" applyBorder="1" applyAlignment="1"/>
    <xf numFmtId="0" fontId="0" fillId="21" borderId="20" xfId="0" applyNumberFormat="1" applyFill="1" applyBorder="1" applyAlignment="1">
      <alignment horizontal="center"/>
    </xf>
    <xf numFmtId="0" fontId="0" fillId="21" borderId="21" xfId="0" applyNumberFormat="1" applyFill="1" applyBorder="1" applyAlignment="1"/>
    <xf numFmtId="0" fontId="0" fillId="21" borderId="22" xfId="0" applyNumberFormat="1" applyFill="1" applyBorder="1" applyAlignment="1"/>
    <xf numFmtId="0" fontId="0" fillId="21" borderId="23" xfId="0" applyNumberFormat="1"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Border="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ont="1"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ont="1" applyFill="1" applyBorder="1" applyAlignment="1">
      <alignment horizontal="center"/>
    </xf>
    <xf numFmtId="0" fontId="0" fillId="22" borderId="41" xfId="0" applyFont="1" applyFill="1" applyBorder="1" applyAlignment="1">
      <alignment horizontal="center"/>
    </xf>
    <xf numFmtId="0" fontId="0" fillId="22" borderId="36" xfId="0" applyFont="1"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1" xfId="0" applyFill="1" applyBorder="1" applyAlignment="1">
      <alignment horizontal="center"/>
    </xf>
    <xf numFmtId="0" fontId="0" fillId="22" borderId="44" xfId="0" applyFont="1"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ont="1" applyFill="1" applyBorder="1" applyAlignment="1">
      <alignment horizontal="center"/>
    </xf>
    <xf numFmtId="2" fontId="0" fillId="23" borderId="21" xfId="0" applyNumberFormat="1" applyFon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NumberFormat="1"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ont="1" applyFill="1" applyBorder="1" applyAlignment="1">
      <alignment horizontal="center"/>
    </xf>
    <xf numFmtId="0" fontId="0" fillId="26" borderId="53" xfId="0" applyFont="1"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Border="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Border="1" applyAlignment="1">
      <alignment horizontal="center"/>
    </xf>
    <xf numFmtId="169" fontId="0" fillId="3" borderId="56" xfId="0" applyNumberFormat="1" applyFill="1" applyBorder="1" applyAlignment="1">
      <alignment horizontal="center"/>
    </xf>
    <xf numFmtId="0" fontId="0" fillId="3" borderId="0" xfId="0" applyNumberFormat="1" applyFill="1" applyBorder="1" applyAlignment="1">
      <alignment horizontal="center"/>
    </xf>
    <xf numFmtId="0" fontId="0" fillId="26" borderId="1" xfId="0" applyFont="1" applyFill="1" applyBorder="1" applyAlignment="1">
      <alignment horizontal="center"/>
    </xf>
    <xf numFmtId="0" fontId="0" fillId="26" borderId="51" xfId="0" applyFont="1" applyFill="1" applyBorder="1" applyAlignment="1">
      <alignment horizontal="center"/>
    </xf>
    <xf numFmtId="183" fontId="0" fillId="26" borderId="51" xfId="0" applyNumberFormat="1" applyFon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0" fontId="0" fillId="24" borderId="62" xfId="0" applyNumberFormat="1" applyFill="1" applyBorder="1" applyAlignment="1">
      <alignment horizontal="center"/>
    </xf>
    <xf numFmtId="183" fontId="0" fillId="25" borderId="60" xfId="0" applyNumberFormat="1" applyFill="1" applyBorder="1" applyAlignment="1">
      <alignment horizontal="center"/>
    </xf>
    <xf numFmtId="0" fontId="0" fillId="3" borderId="55" xfId="0" applyNumberFormat="1" applyFill="1" applyBorder="1" applyAlignment="1">
      <alignment horizontal="center"/>
    </xf>
    <xf numFmtId="0" fontId="0" fillId="3" borderId="56" xfId="0" applyNumberFormat="1" applyFill="1" applyBorder="1" applyAlignment="1">
      <alignment horizontal="center"/>
    </xf>
    <xf numFmtId="0" fontId="0" fillId="3" borderId="61" xfId="0" applyNumberFormat="1" applyFill="1" applyBorder="1" applyAlignment="1">
      <alignment horizontal="center"/>
    </xf>
    <xf numFmtId="0" fontId="0" fillId="24" borderId="57" xfId="0" applyNumberFormat="1" applyFill="1" applyBorder="1" applyAlignment="1">
      <alignment horizontal="center"/>
    </xf>
    <xf numFmtId="0" fontId="45" fillId="0" borderId="0" xfId="0" applyFont="1" applyBorder="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pplyProtection="1">
      <alignment horizontal="right"/>
    </xf>
    <xf numFmtId="0" fontId="46" fillId="0" borderId="10" xfId="2" applyFont="1" applyBorder="1" applyProtection="1"/>
    <xf numFmtId="0" fontId="49" fillId="0" borderId="10" xfId="2" applyFont="1" applyBorder="1" applyAlignment="1" applyProtection="1">
      <alignment horizontal="left"/>
    </xf>
    <xf numFmtId="0" fontId="48" fillId="0" borderId="10" xfId="2" applyFont="1" applyBorder="1" applyAlignment="1" applyProtection="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ont="1" applyFill="1" applyBorder="1" applyAlignment="1">
      <alignment horizontal="center"/>
    </xf>
    <xf numFmtId="0" fontId="0" fillId="29" borderId="26" xfId="0" applyFill="1" applyBorder="1" applyAlignment="1" applyProtection="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NumberFormat="1" applyFont="1" applyFill="1" applyBorder="1" applyAlignment="1">
      <alignment horizontal="center"/>
    </xf>
    <xf numFmtId="0" fontId="33" fillId="5" borderId="20" xfId="2" applyNumberFormat="1" applyFont="1" applyFill="1" applyBorder="1" applyAlignment="1">
      <alignment horizontal="center"/>
    </xf>
    <xf numFmtId="0" fontId="33" fillId="5" borderId="23" xfId="2" applyNumberFormat="1"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ont="1" applyFill="1" applyBorder="1" applyAlignment="1" applyProtection="1">
      <alignment horizontal="center" vertical="center"/>
      <protection hidden="1"/>
    </xf>
    <xf numFmtId="0" fontId="0" fillId="0" borderId="22" xfId="0" applyBorder="1" applyAlignment="1">
      <alignment horizontal="center" vertical="center"/>
    </xf>
    <xf numFmtId="1" fontId="0" fillId="0" borderId="22" xfId="0" applyNumberFormat="1"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0" fontId="0" fillId="0" borderId="33" xfId="0" applyFont="1" applyBorder="1" applyAlignment="1">
      <alignment horizontal="center" vertical="center"/>
    </xf>
    <xf numFmtId="0" fontId="0"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2" fillId="0" borderId="0" xfId="0" applyFont="1" applyFill="1" applyBorder="1" applyAlignment="1">
      <alignment horizontal="center"/>
    </xf>
    <xf numFmtId="0" fontId="45" fillId="0" borderId="0" xfId="2" applyFont="1" applyBorder="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Border="1" applyProtection="1"/>
    <xf numFmtId="0" fontId="15" fillId="0" borderId="0" xfId="0" applyFont="1" applyFill="1" applyBorder="1" applyProtection="1"/>
    <xf numFmtId="0" fontId="2" fillId="0" borderId="0" xfId="0" applyFont="1" applyBorder="1" applyAlignment="1" applyProtection="1">
      <alignment horizontal="right"/>
    </xf>
    <xf numFmtId="0" fontId="15" fillId="0" borderId="0" xfId="0" applyFont="1" applyBorder="1" applyAlignment="1" applyProtection="1">
      <alignment horizontal="right"/>
    </xf>
    <xf numFmtId="0" fontId="2" fillId="0" borderId="0" xfId="0" applyFont="1" applyBorder="1" applyProtection="1"/>
    <xf numFmtId="0" fontId="42" fillId="0" borderId="0" xfId="0" applyFont="1" applyBorder="1" applyAlignment="1" applyProtection="1">
      <alignment horizontal="center"/>
    </xf>
    <xf numFmtId="0" fontId="15" fillId="0" borderId="0" xfId="0" applyFont="1" applyFill="1" applyBorder="1" applyAlignment="1" applyProtection="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0" fillId="0" borderId="0" xfId="0" applyBorder="1" applyProtection="1"/>
    <xf numFmtId="0" fontId="15" fillId="0" borderId="2" xfId="0" applyFont="1" applyFill="1" applyBorder="1" applyAlignment="1" applyProtection="1">
      <alignment horizontal="center"/>
    </xf>
    <xf numFmtId="0" fontId="15" fillId="0" borderId="64" xfId="0" applyFont="1" applyFill="1" applyBorder="1" applyAlignment="1" applyProtection="1">
      <alignment horizontal="center"/>
    </xf>
    <xf numFmtId="0" fontId="0" fillId="0" borderId="0" xfId="0" applyFont="1" applyFill="1" applyBorder="1" applyAlignment="1" applyProtection="1">
      <alignment horizontal="center"/>
    </xf>
    <xf numFmtId="201" fontId="15" fillId="0" borderId="0" xfId="0" applyNumberFormat="1" applyFont="1" applyBorder="1" applyProtection="1"/>
    <xf numFmtId="0" fontId="0" fillId="0" borderId="0" xfId="0" applyBorder="1" applyAlignment="1" applyProtection="1">
      <alignment horizontal="left"/>
    </xf>
    <xf numFmtId="191" fontId="0" fillId="0" borderId="0" xfId="0" applyNumberFormat="1" applyBorder="1" applyProtection="1"/>
    <xf numFmtId="192" fontId="0" fillId="0" borderId="0" xfId="0" applyNumberFormat="1" applyFill="1" applyBorder="1" applyProtection="1"/>
    <xf numFmtId="0" fontId="43" fillId="0" borderId="0" xfId="0" applyFont="1" applyBorder="1" applyProtection="1"/>
    <xf numFmtId="0" fontId="2" fillId="0" borderId="31" xfId="0" applyFont="1" applyBorder="1" applyProtection="1"/>
    <xf numFmtId="0" fontId="2" fillId="0" borderId="33" xfId="0" applyFont="1" applyBorder="1" applyProtection="1"/>
    <xf numFmtId="192" fontId="2" fillId="30" borderId="32" xfId="0" applyNumberFormat="1" applyFont="1" applyFill="1" applyBorder="1" applyProtection="1">
      <protection locked="0"/>
    </xf>
    <xf numFmtId="0" fontId="2" fillId="0" borderId="21" xfId="0" applyFont="1" applyBorder="1" applyProtection="1"/>
    <xf numFmtId="0" fontId="2" fillId="0" borderId="22" xfId="0" applyFont="1" applyBorder="1" applyProtection="1"/>
    <xf numFmtId="198" fontId="2" fillId="0" borderId="23" xfId="0" applyNumberFormat="1" applyFont="1" applyFill="1" applyBorder="1" applyProtection="1"/>
    <xf numFmtId="0" fontId="42" fillId="0" borderId="0" xfId="0" applyFont="1" applyBorder="1" applyAlignment="1" applyProtection="1"/>
    <xf numFmtId="0" fontId="2" fillId="0" borderId="31" xfId="0" applyFont="1" applyBorder="1" applyAlignment="1" applyProtection="1"/>
    <xf numFmtId="0" fontId="2" fillId="0" borderId="33" xfId="0" applyFont="1" applyBorder="1" applyAlignment="1" applyProtection="1"/>
    <xf numFmtId="0" fontId="2" fillId="0" borderId="19" xfId="0" applyFont="1" applyBorder="1" applyAlignment="1" applyProtection="1"/>
    <xf numFmtId="0" fontId="2" fillId="0" borderId="0" xfId="0" applyFont="1" applyBorder="1" applyAlignment="1" applyProtection="1"/>
    <xf numFmtId="0" fontId="2" fillId="0" borderId="21" xfId="0" applyFont="1" applyBorder="1" applyAlignment="1" applyProtection="1"/>
    <xf numFmtId="0" fontId="2" fillId="0" borderId="22" xfId="0" applyFont="1" applyBorder="1" applyAlignment="1" applyProtection="1"/>
    <xf numFmtId="3" fontId="2" fillId="30" borderId="32" xfId="0" applyNumberFormat="1" applyFont="1" applyFill="1" applyBorder="1" applyAlignment="1" applyProtection="1">
      <alignment horizontal="center"/>
    </xf>
    <xf numFmtId="191" fontId="2" fillId="0" borderId="33" xfId="0" applyNumberFormat="1" applyFont="1" applyFill="1" applyBorder="1" applyAlignment="1" applyProtection="1">
      <alignment horizontal="center"/>
    </xf>
    <xf numFmtId="192" fontId="2" fillId="0" borderId="32" xfId="0" applyNumberFormat="1" applyFont="1" applyFill="1" applyBorder="1" applyAlignment="1" applyProtection="1">
      <alignment horizontal="center"/>
    </xf>
    <xf numFmtId="191" fontId="2" fillId="0" borderId="22" xfId="0" applyNumberFormat="1" applyFont="1" applyFill="1" applyBorder="1" applyAlignment="1" applyProtection="1">
      <alignment horizontal="center"/>
    </xf>
    <xf numFmtId="192" fontId="2" fillId="0" borderId="23" xfId="0" applyNumberFormat="1" applyFont="1" applyFill="1" applyBorder="1" applyAlignment="1" applyProtection="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Fill="1" applyBorder="1" applyAlignment="1" applyProtection="1">
      <alignment horizontal="center"/>
    </xf>
    <xf numFmtId="201" fontId="2" fillId="0" borderId="23" xfId="0" applyNumberFormat="1" applyFont="1" applyBorder="1" applyAlignment="1" applyProtection="1">
      <alignment horizontal="center"/>
    </xf>
    <xf numFmtId="199" fontId="2" fillId="0" borderId="33" xfId="0" applyNumberFormat="1" applyFont="1" applyFill="1" applyBorder="1" applyAlignment="1" applyProtection="1">
      <alignment horizontal="center"/>
    </xf>
    <xf numFmtId="200" fontId="2" fillId="0" borderId="32" xfId="0" applyNumberFormat="1" applyFont="1" applyFill="1" applyBorder="1" applyAlignment="1" applyProtection="1">
      <alignment horizontal="center"/>
    </xf>
    <xf numFmtId="191" fontId="2" fillId="0" borderId="0" xfId="0" applyNumberFormat="1" applyFont="1" applyFill="1" applyBorder="1" applyAlignment="1" applyProtection="1">
      <alignment horizontal="center"/>
    </xf>
    <xf numFmtId="192" fontId="2" fillId="0" borderId="20" xfId="0" applyNumberFormat="1" applyFont="1" applyFill="1" applyBorder="1" applyAlignment="1" applyProtection="1">
      <alignment horizontal="center"/>
    </xf>
    <xf numFmtId="0" fontId="15" fillId="0" borderId="10" xfId="0" applyFont="1" applyFill="1" applyBorder="1" applyProtection="1"/>
    <xf numFmtId="0" fontId="15" fillId="0" borderId="10" xfId="0" applyFont="1" applyBorder="1" applyProtection="1"/>
    <xf numFmtId="0" fontId="0" fillId="29" borderId="20" xfId="0" applyFill="1" applyBorder="1" applyAlignment="1" applyProtection="1">
      <alignment horizontal="center"/>
    </xf>
    <xf numFmtId="0" fontId="0" fillId="29" borderId="26" xfId="0" applyFill="1" applyBorder="1" applyAlignment="1">
      <alignment horizontal="center"/>
    </xf>
    <xf numFmtId="0" fontId="0" fillId="31" borderId="65" xfId="0" applyNumberFormat="1"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170" fontId="2" fillId="3" borderId="25" xfId="0" applyNumberFormat="1" applyFont="1" applyFill="1" applyBorder="1" applyAlignment="1" applyProtection="1">
      <alignment horizontal="center" vertical="center"/>
      <protection locked="0"/>
    </xf>
    <xf numFmtId="0" fontId="2" fillId="28" borderId="2" xfId="0" applyFont="1" applyFill="1" applyBorder="1" applyAlignment="1">
      <alignment horizontal="center" vertical="center"/>
    </xf>
    <xf numFmtId="0" fontId="0" fillId="0" borderId="0" xfId="0" applyFont="1" applyFill="1" applyBorder="1" applyAlignment="1">
      <alignment horizontal="center"/>
    </xf>
    <xf numFmtId="0" fontId="0" fillId="30" borderId="0" xfId="0" applyFill="1"/>
    <xf numFmtId="0" fontId="0" fillId="30" borderId="0" xfId="0" applyFill="1" applyAlignment="1">
      <alignment horizontal="center"/>
    </xf>
    <xf numFmtId="0" fontId="0" fillId="0" borderId="0" xfId="0" applyFill="1" applyBorder="1" applyAlignment="1" applyProtection="1">
      <alignment horizontal="center"/>
      <protection locked="0"/>
    </xf>
    <xf numFmtId="0" fontId="0" fillId="29" borderId="25" xfId="0" applyFill="1" applyBorder="1" applyAlignment="1">
      <alignment horizontal="center"/>
    </xf>
    <xf numFmtId="0" fontId="1" fillId="0" borderId="0" xfId="2" applyFont="1" applyBorder="1" applyProtection="1">
      <protection locked="0"/>
    </xf>
    <xf numFmtId="0" fontId="1" fillId="0" borderId="0" xfId="2" applyFont="1"/>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0" fontId="45" fillId="0" borderId="0" xfId="0" applyFont="1" applyAlignment="1">
      <alignment vertical="center"/>
    </xf>
    <xf numFmtId="0" fontId="0" fillId="30" borderId="2" xfId="0" applyFill="1" applyBorder="1" applyAlignment="1">
      <alignmen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Border="1" applyAlignment="1">
      <alignment vertical="center"/>
    </xf>
    <xf numFmtId="0" fontId="2" fillId="0" borderId="0" xfId="0" applyFont="1" applyFill="1" applyBorder="1" applyAlignment="1" applyProtection="1">
      <alignment horizontal="center" vertical="center"/>
      <protection hidden="1"/>
    </xf>
    <xf numFmtId="186" fontId="2" fillId="0" borderId="0" xfId="0" applyNumberFormat="1" applyFont="1" applyFill="1" applyBorder="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ont="1" applyFill="1" applyBorder="1" applyAlignment="1">
      <alignment horizontal="center" vertical="center"/>
    </xf>
    <xf numFmtId="175" fontId="2" fillId="7" borderId="2" xfId="0" applyNumberFormat="1" applyFont="1" applyFill="1" applyBorder="1" applyAlignment="1">
      <alignment horizontal="center" vertical="center"/>
    </xf>
    <xf numFmtId="0" fontId="0" fillId="0" borderId="0" xfId="0" applyFill="1" applyBorder="1" applyAlignment="1">
      <alignment vertical="center"/>
    </xf>
    <xf numFmtId="166" fontId="2" fillId="0" borderId="0" xfId="0" applyNumberFormat="1" applyFont="1" applyFill="1" applyBorder="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ont="1" applyFill="1" applyBorder="1" applyAlignment="1">
      <alignment horizontal="center" vertical="center"/>
    </xf>
    <xf numFmtId="186" fontId="0" fillId="7" borderId="43" xfId="0" applyNumberFormat="1" applyFont="1" applyFill="1" applyBorder="1" applyAlignment="1">
      <alignment horizontal="center" vertical="center"/>
    </xf>
    <xf numFmtId="165" fontId="0" fillId="7" borderId="72" xfId="0" applyNumberFormat="1" applyFon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on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Border="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applyAlignment="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Border="1" applyAlignment="1" applyProtection="1">
      <alignment horizontal="center"/>
      <protection hidden="1"/>
    </xf>
    <xf numFmtId="0" fontId="8" fillId="0" borderId="0" xfId="2" applyFont="1" applyBorder="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pplyProtection="1">
      <alignment horizontal="center"/>
    </xf>
    <xf numFmtId="0" fontId="2" fillId="0" borderId="33" xfId="0" applyFont="1" applyFill="1" applyBorder="1" applyAlignment="1">
      <alignment horizontal="center"/>
    </xf>
    <xf numFmtId="165" fontId="2" fillId="0" borderId="20" xfId="0" applyNumberFormat="1" applyFont="1" applyFill="1" applyBorder="1" applyAlignment="1">
      <alignment horizontal="center" vertical="center"/>
    </xf>
    <xf numFmtId="165" fontId="2" fillId="0" borderId="20" xfId="0" applyNumberFormat="1" applyFont="1" applyFill="1" applyBorder="1" applyAlignment="1">
      <alignment horizontal="center"/>
    </xf>
    <xf numFmtId="0" fontId="2" fillId="0" borderId="22" xfId="0" applyFont="1" applyFill="1" applyBorder="1" applyAlignment="1">
      <alignment horizontal="center"/>
    </xf>
    <xf numFmtId="175" fontId="2" fillId="0" borderId="0" xfId="0" applyNumberFormat="1" applyFont="1" applyFill="1" applyBorder="1" applyAlignment="1" applyProtection="1">
      <alignment horizontal="center" vertical="center"/>
    </xf>
    <xf numFmtId="0" fontId="2" fillId="0" borderId="22" xfId="0" applyFont="1" applyFill="1" applyBorder="1" applyAlignment="1">
      <alignment horizontal="center" vertical="center"/>
    </xf>
    <xf numFmtId="182" fontId="2" fillId="0" borderId="0" xfId="0" applyNumberFormat="1" applyFont="1" applyFill="1" applyBorder="1" applyAlignment="1">
      <alignment horizontal="center"/>
    </xf>
    <xf numFmtId="1" fontId="2" fillId="0" borderId="0" xfId="0" applyNumberFormat="1" applyFont="1" applyFill="1" applyBorder="1" applyAlignment="1">
      <alignment horizontal="center" vertical="center"/>
    </xf>
    <xf numFmtId="14" fontId="2" fillId="0" borderId="0" xfId="0" applyNumberFormat="1" applyFont="1" applyBorder="1" applyAlignment="1">
      <alignment horizontal="center"/>
    </xf>
    <xf numFmtId="0" fontId="0" fillId="0" borderId="0" xfId="0" applyFont="1" applyBorder="1" applyAlignment="1" applyProtection="1">
      <alignment horizontal="right"/>
    </xf>
    <xf numFmtId="0" fontId="2" fillId="0" borderId="0" xfId="0" applyFont="1" applyBorder="1" applyAlignment="1">
      <alignment horizontal="right"/>
    </xf>
    <xf numFmtId="0" fontId="0" fillId="0" borderId="0" xfId="0" applyBorder="1" applyAlignment="1" applyProtection="1">
      <alignment horizontal="right"/>
    </xf>
    <xf numFmtId="0" fontId="0" fillId="0" borderId="64" xfId="0" applyBorder="1" applyAlignment="1">
      <alignment horizontal="center"/>
    </xf>
    <xf numFmtId="0" fontId="0" fillId="0" borderId="0" xfId="0" applyFont="1" applyBorder="1" applyAlignment="1">
      <alignment horizontal="right"/>
    </xf>
    <xf numFmtId="0" fontId="0" fillId="0" borderId="0" xfId="0" applyFont="1" applyFill="1" applyBorder="1" applyAlignment="1" applyProtection="1">
      <alignment horizontal="right"/>
    </xf>
    <xf numFmtId="0" fontId="0" fillId="0" borderId="2" xfId="0" applyFont="1" applyFill="1" applyBorder="1" applyAlignment="1" applyProtection="1">
      <alignment horizontal="center"/>
    </xf>
    <xf numFmtId="0" fontId="0" fillId="0" borderId="2" xfId="0" applyFont="1" applyBorder="1" applyAlignment="1">
      <alignment horizontal="center"/>
    </xf>
    <xf numFmtId="0" fontId="0" fillId="0" borderId="0" xfId="0" applyFill="1" applyBorder="1" applyAlignment="1" applyProtection="1">
      <alignment horizontal="right"/>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Fill="1" applyBorder="1" applyAlignment="1">
      <alignment horizontal="center" vertical="center"/>
    </xf>
    <xf numFmtId="0" fontId="2" fillId="0" borderId="2" xfId="0" applyFont="1" applyFill="1" applyBorder="1" applyAlignment="1">
      <alignment horizontal="center"/>
    </xf>
    <xf numFmtId="175" fontId="2" fillId="0" borderId="2" xfId="0" applyNumberFormat="1" applyFont="1" applyFill="1" applyBorder="1" applyAlignment="1" applyProtection="1">
      <alignment horizontal="center" vertical="center"/>
    </xf>
    <xf numFmtId="0" fontId="2" fillId="0" borderId="2" xfId="0" applyNumberFormat="1" applyFont="1" applyBorder="1" applyAlignment="1">
      <alignment horizont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xf>
    <xf numFmtId="0" fontId="2" fillId="0" borderId="2"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0" fontId="2" fillId="0" borderId="0" xfId="0" applyNumberFormat="1" applyFont="1" applyBorder="1"/>
    <xf numFmtId="175" fontId="2" fillId="0" borderId="2" xfId="0" applyNumberFormat="1" applyFont="1" applyFill="1" applyBorder="1" applyAlignment="1" applyProtection="1">
      <alignment horizontal="right" vertical="center"/>
    </xf>
    <xf numFmtId="0" fontId="0" fillId="0" borderId="20" xfId="0" applyFont="1" applyFill="1" applyBorder="1" applyAlignment="1">
      <alignment horizontal="center"/>
    </xf>
    <xf numFmtId="0" fontId="0" fillId="0" borderId="0" xfId="0" applyBorder="1" applyAlignment="1">
      <alignment horizontal="left" vertical="top"/>
    </xf>
    <xf numFmtId="0" fontId="0" fillId="0" borderId="0" xfId="0" applyFont="1" applyBorder="1"/>
    <xf numFmtId="0" fontId="17" fillId="5" borderId="31" xfId="2" applyNumberFormat="1" applyFont="1" applyFill="1" applyBorder="1" applyAlignment="1">
      <alignment horizontal="center" vertical="center"/>
    </xf>
    <xf numFmtId="0" fontId="17" fillId="5" borderId="32" xfId="2" applyNumberFormat="1" applyFont="1" applyFill="1" applyBorder="1" applyAlignment="1">
      <alignment horizontal="center" vertical="center"/>
    </xf>
    <xf numFmtId="0" fontId="17" fillId="5" borderId="21" xfId="2" applyNumberFormat="1" applyFont="1" applyFill="1" applyBorder="1" applyAlignment="1">
      <alignment horizontal="center" vertical="center"/>
    </xf>
    <xf numFmtId="0" fontId="17" fillId="5" borderId="23" xfId="2" applyNumberFormat="1"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Border="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Border="1" applyAlignment="1">
      <alignment horizontal="center"/>
    </xf>
    <xf numFmtId="0" fontId="2" fillId="0" borderId="0" xfId="2" applyFont="1" applyBorder="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Border="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 fillId="20" borderId="0" xfId="0" applyFont="1" applyFill="1" applyBorder="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pplyProtection="1">
      <alignment horizontal="center"/>
    </xf>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46" xfId="0" applyNumberFormat="1" applyFont="1" applyFill="1" applyBorder="1" applyAlignment="1" applyProtection="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pplyProtection="1">
      <alignment horizontal="center"/>
    </xf>
    <xf numFmtId="0" fontId="2" fillId="13" borderId="91" xfId="0" applyFont="1" applyFill="1" applyBorder="1" applyAlignment="1" applyProtection="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0" xfId="0"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0" borderId="33" xfId="0" applyBorder="1" applyAlignment="1">
      <alignment horizontal="center"/>
    </xf>
    <xf numFmtId="0" fontId="0" fillId="0" borderId="0" xfId="0" applyFill="1" applyBorder="1" applyAlignment="1" applyProtection="1">
      <alignment horizontal="center"/>
    </xf>
    <xf numFmtId="0" fontId="0" fillId="0" borderId="0" xfId="0" applyFill="1" applyBorder="1" applyAlignment="1" applyProtection="1">
      <alignment horizontal="center"/>
      <protection locked="0"/>
    </xf>
    <xf numFmtId="0" fontId="0" fillId="30" borderId="19" xfId="0" applyFill="1" applyBorder="1" applyAlignment="1" applyProtection="1">
      <alignment horizontal="center"/>
    </xf>
    <xf numFmtId="0" fontId="0" fillId="30" borderId="20" xfId="0" applyFill="1" applyBorder="1" applyAlignment="1" applyProtection="1">
      <alignment horizontal="center"/>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28" borderId="31" xfId="0" applyFont="1" applyFill="1" applyBorder="1" applyAlignment="1">
      <alignment horizontal="center"/>
    </xf>
    <xf numFmtId="0" fontId="0" fillId="28" borderId="32" xfId="0" applyFont="1" applyFill="1" applyBorder="1" applyAlignment="1">
      <alignment horizontal="center"/>
    </xf>
    <xf numFmtId="0" fontId="0" fillId="28" borderId="31" xfId="0" applyFill="1" applyBorder="1" applyAlignment="1">
      <alignment horizontal="center"/>
    </xf>
    <xf numFmtId="0" fontId="0" fillId="0" borderId="0" xfId="0" applyAlignment="1" applyProtection="1">
      <alignment horizontal="center"/>
      <protection locked="0"/>
    </xf>
    <xf numFmtId="0" fontId="0" fillId="4" borderId="0" xfId="0" applyFill="1" applyBorder="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0" fontId="0" fillId="0" borderId="0" xfId="0" applyFill="1" applyBorder="1" applyAlignment="1">
      <alignment horizontal="center"/>
    </xf>
    <xf numFmtId="2" fontId="0" fillId="22" borderId="53" xfId="0" applyNumberFormat="1" applyFont="1" applyFill="1" applyBorder="1" applyAlignment="1">
      <alignment horizontal="center"/>
    </xf>
    <xf numFmtId="2" fontId="0" fillId="22" borderId="65" xfId="0" applyNumberFormat="1" applyFont="1" applyFill="1" applyBorder="1" applyAlignment="1">
      <alignment horizontal="center"/>
    </xf>
    <xf numFmtId="2" fontId="0" fillId="22" borderId="11" xfId="0" applyNumberFormat="1" applyFont="1" applyFill="1" applyBorder="1" applyAlignment="1">
      <alignment horizontal="center"/>
    </xf>
    <xf numFmtId="2" fontId="0" fillId="22" borderId="54" xfId="0" applyNumberFormat="1" applyFont="1" applyFill="1" applyBorder="1" applyAlignment="1">
      <alignment horizontal="center"/>
    </xf>
    <xf numFmtId="0" fontId="0" fillId="22" borderId="99" xfId="0" applyFont="1" applyFill="1" applyBorder="1" applyAlignment="1">
      <alignment horizontal="center"/>
    </xf>
    <xf numFmtId="0" fontId="0" fillId="22" borderId="100" xfId="0" applyFont="1" applyFill="1" applyBorder="1" applyAlignment="1">
      <alignment horizontal="center"/>
    </xf>
    <xf numFmtId="0" fontId="0" fillId="22" borderId="101" xfId="0" applyFont="1" applyFill="1" applyBorder="1" applyAlignment="1">
      <alignment horizontal="center"/>
    </xf>
    <xf numFmtId="2" fontId="0" fillId="22" borderId="52" xfId="0" applyNumberFormat="1" applyFill="1" applyBorder="1" applyAlignment="1">
      <alignment horizontal="center"/>
    </xf>
    <xf numFmtId="2" fontId="0" fillId="22" borderId="52" xfId="0" applyNumberFormat="1" applyFont="1" applyFill="1" applyBorder="1" applyAlignment="1">
      <alignment horizontal="center"/>
    </xf>
    <xf numFmtId="194" fontId="2" fillId="13" borderId="46" xfId="0" applyNumberFormat="1" applyFont="1" applyFill="1" applyBorder="1" applyAlignment="1" applyProtection="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pplyProtection="1">
      <alignment horizontal="center" vertical="center"/>
    </xf>
    <xf numFmtId="0" fontId="2" fillId="13" borderId="46" xfId="0" applyNumberFormat="1" applyFont="1" applyFill="1" applyBorder="1" applyAlignment="1" applyProtection="1">
      <alignment horizontal="center" vertical="center"/>
    </xf>
    <xf numFmtId="0" fontId="2" fillId="0" borderId="21" xfId="0" applyFont="1" applyFill="1" applyBorder="1" applyAlignment="1" applyProtection="1">
      <alignment horizontal="left"/>
    </xf>
    <xf numFmtId="0" fontId="2" fillId="0" borderId="22" xfId="0" applyFont="1" applyFill="1" applyBorder="1" applyAlignment="1" applyProtection="1">
      <alignment horizontal="left"/>
    </xf>
    <xf numFmtId="0" fontId="2" fillId="0" borderId="31" xfId="0" applyFont="1" applyBorder="1" applyAlignment="1" applyProtection="1">
      <alignment horizontal="left"/>
    </xf>
    <xf numFmtId="0" fontId="2" fillId="0" borderId="33" xfId="0" applyFont="1" applyBorder="1" applyAlignment="1" applyProtection="1">
      <alignment horizontal="left"/>
    </xf>
    <xf numFmtId="0" fontId="2" fillId="0" borderId="21" xfId="0" applyFont="1" applyBorder="1" applyAlignment="1" applyProtection="1">
      <alignment horizontal="left"/>
    </xf>
    <xf numFmtId="0" fontId="2" fillId="0" borderId="22" xfId="0" applyFont="1" applyBorder="1" applyAlignment="1" applyProtection="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12" xfId="0" applyNumberFormat="1" applyFont="1" applyFill="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Fill="1" applyBorder="1" applyAlignment="1">
      <alignment horizontal="center" vertical="center"/>
    </xf>
    <xf numFmtId="165" fontId="2" fillId="0" borderId="0" xfId="0" applyNumberFormat="1" applyFont="1" applyBorder="1" applyAlignment="1">
      <alignment horizontal="center" vertical="center"/>
    </xf>
    <xf numFmtId="165" fontId="2" fillId="0" borderId="20" xfId="0" applyNumberFormat="1" applyFont="1" applyBorder="1" applyAlignment="1">
      <alignment horizontal="center" vertical="center"/>
    </xf>
    <xf numFmtId="165" fontId="2" fillId="0" borderId="33" xfId="0" applyNumberFormat="1" applyFont="1" applyFill="1" applyBorder="1" applyAlignment="1">
      <alignment horizontal="center" vertical="center"/>
    </xf>
    <xf numFmtId="165" fontId="2" fillId="0" borderId="32" xfId="0" applyNumberFormat="1" applyFont="1" applyFill="1" applyBorder="1" applyAlignment="1">
      <alignment horizontal="center" vertical="center"/>
    </xf>
    <xf numFmtId="165" fontId="2" fillId="0" borderId="0" xfId="0" applyNumberFormat="1" applyFont="1" applyFill="1" applyBorder="1" applyAlignment="1">
      <alignment horizontal="center" vertical="center"/>
    </xf>
    <xf numFmtId="165" fontId="2" fillId="0" borderId="20" xfId="0" applyNumberFormat="1" applyFont="1" applyFill="1" applyBorder="1" applyAlignment="1">
      <alignment horizontal="center" vertical="center"/>
    </xf>
    <xf numFmtId="0" fontId="2" fillId="0" borderId="0" xfId="0" applyFont="1" applyFill="1" applyBorder="1" applyAlignment="1" applyProtection="1">
      <alignment horizontal="center" vertical="center"/>
    </xf>
    <xf numFmtId="0" fontId="2" fillId="0" borderId="20" xfId="0" applyFont="1" applyFill="1" applyBorder="1" applyAlignment="1" applyProtection="1">
      <alignment horizontal="center" vertical="center"/>
    </xf>
    <xf numFmtId="175" fontId="2" fillId="0" borderId="22" xfId="0" applyNumberFormat="1" applyFont="1" applyFill="1" applyBorder="1" applyAlignment="1" applyProtection="1">
      <alignment horizontal="center" vertical="center"/>
    </xf>
    <xf numFmtId="175" fontId="2" fillId="0" borderId="23" xfId="0" applyNumberFormat="1" applyFont="1" applyFill="1" applyBorder="1" applyAlignment="1" applyProtection="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theme="0"/>
      </font>
      <fill>
        <patternFill>
          <bgColor theme="0"/>
        </patternFill>
      </fill>
      <border>
        <left/>
        <right/>
        <top/>
        <bottom/>
      </border>
    </dxf>
    <dxf>
      <font>
        <color rgb="FFFFFF99"/>
        <name val="Cambria"/>
        <scheme val="none"/>
      </font>
    </dxf>
    <dxf>
      <font>
        <color rgb="FFFFCC99"/>
      </font>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indexed="9"/>
      </font>
      <fill>
        <patternFill patternType="solid">
          <bgColor indexed="9"/>
        </patternFill>
      </fill>
      <border>
        <left/>
        <right/>
        <top/>
        <bottom/>
      </border>
    </dxf>
    <dxf>
      <font>
        <color theme="0"/>
      </font>
      <fill>
        <patternFill patternType="solid">
          <bgColor theme="0"/>
        </patternFill>
      </fill>
      <border>
        <right/>
        <bottom/>
      </border>
    </dxf>
    <dxf>
      <font>
        <color rgb="FFCCFFFF"/>
      </font>
    </dxf>
    <dxf>
      <fill>
        <patternFill>
          <bgColor indexed="10"/>
        </patternFill>
      </fill>
    </dxf>
    <dxf>
      <font>
        <color theme="0"/>
      </font>
      <fill>
        <patternFill>
          <bgColor theme="0"/>
        </patternFill>
      </fill>
      <border>
        <right/>
        <top/>
        <bottom/>
      </border>
    </dxf>
    <dxf>
      <fill>
        <patternFill patternType="solid">
          <fgColor indexed="53"/>
          <bgColor rgb="FFFF0000"/>
        </patternFill>
      </fill>
    </dxf>
    <dxf>
      <fill>
        <patternFill patternType="solid">
          <fgColor indexed="60"/>
          <bgColor indexed="10"/>
        </patternFill>
      </fill>
    </dxf>
    <dxf>
      <fill>
        <patternFill patternType="solid">
          <fgColor indexed="60"/>
          <bgColor indexed="10"/>
        </patternFill>
      </fill>
    </dxf>
    <dxf>
      <font>
        <color rgb="FFFF0000"/>
      </font>
    </dxf>
    <dxf>
      <font>
        <color theme="0"/>
      </font>
    </dxf>
    <dxf>
      <font>
        <color theme="1"/>
      </font>
    </dxf>
    <dxf>
      <font>
        <color theme="1"/>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0000"/>
      </font>
    </dxf>
    <dxf>
      <font>
        <color rgb="FFCC6600"/>
      </font>
    </dxf>
    <dxf>
      <font>
        <color theme="0"/>
      </font>
      <fill>
        <patternFill>
          <bgColor theme="0"/>
        </patternFill>
      </fill>
      <border>
        <left/>
        <right/>
        <bottom/>
      </border>
    </dxf>
    <dxf>
      <font>
        <condense val="0"/>
        <extend val="0"/>
        <color indexed="9"/>
      </font>
      <fill>
        <patternFill patternType="none">
          <bgColor indexed="65"/>
        </patternFill>
      </fill>
      <border>
        <left/>
        <right/>
        <top/>
        <bottom/>
      </border>
    </dxf>
    <dxf>
      <font>
        <color indexed="9"/>
      </font>
      <fill>
        <patternFill>
          <bgColor indexed="9"/>
        </patternFill>
      </fill>
      <border>
        <left/>
        <right/>
        <top/>
        <bottom/>
      </border>
    </dxf>
    <dxf>
      <font>
        <color rgb="FFFF0000"/>
      </font>
    </dxf>
    <dxf>
      <font>
        <color rgb="FFFF0000"/>
      </font>
    </dxf>
    <dxf>
      <font>
        <color rgb="FFFF0000"/>
      </font>
    </dxf>
    <dxf>
      <font>
        <color rgb="FFFF0000"/>
      </font>
    </dxf>
    <dxf>
      <font>
        <color rgb="FFFF0000"/>
      </font>
    </dxf>
    <dxf>
      <font>
        <color rgb="FFFF0000"/>
      </font>
    </dxf>
    <dxf>
      <font>
        <condense val="0"/>
        <extend val="0"/>
        <color indexed="11"/>
      </font>
    </dxf>
    <dxf>
      <font>
        <condense val="0"/>
        <extend val="0"/>
        <color indexed="9"/>
      </font>
      <fill>
        <patternFill patternType="none">
          <bgColor indexed="65"/>
        </patternFill>
      </fill>
      <border>
        <left/>
        <right/>
        <top/>
        <bottom/>
      </border>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0-D940-4017-AF70-0F9C89340F51}"/>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50</c:v>
                </c:pt>
                <c:pt idx="1">
                  <c:v>200</c:v>
                </c:pt>
                <c:pt idx="2">
                  <c:v>200</c:v>
                </c:pt>
                <c:pt idx="3">
                  <c:v>50</c:v>
                </c:pt>
                <c:pt idx="4">
                  <c:v>50</c:v>
                </c:pt>
              </c:numCache>
            </c:numRef>
          </c:xVal>
          <c:yVal>
            <c:numRef>
              <c:f>Stabilito!$C$132:$C$136</c:f>
              <c:numCache>
                <c:formatCode>0</c:formatCode>
                <c:ptCount val="5"/>
                <c:pt idx="0">
                  <c:v>-1580</c:v>
                </c:pt>
                <c:pt idx="1">
                  <c:v>-1780</c:v>
                </c:pt>
                <c:pt idx="2">
                  <c:v>-1880</c:v>
                </c:pt>
                <c:pt idx="3">
                  <c:v>-1800</c:v>
                </c:pt>
                <c:pt idx="4">
                  <c:v>-1580</c:v>
                </c:pt>
              </c:numCache>
            </c:numRef>
          </c:yVal>
          <c:smooth val="0"/>
          <c:extLst>
            <c:ext xmlns:c16="http://schemas.microsoft.com/office/drawing/2014/chart" uri="{C3380CC4-5D6E-409C-BE32-E72D297353CC}">
              <c16:uniqueId val="{00000001-D940-4017-AF70-0F9C89340F51}"/>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-50</c:v>
                </c:pt>
                <c:pt idx="2">
                  <c:v>-50</c:v>
                </c:pt>
                <c:pt idx="3">
                  <c:v>-50</c:v>
                </c:pt>
                <c:pt idx="4">
                  <c:v>-50</c:v>
                </c:pt>
                <c:pt idx="5">
                  <c:v>-50</c:v>
                </c:pt>
                <c:pt idx="6">
                  <c:v>-50</c:v>
                </c:pt>
                <c:pt idx="7">
                  <c:v>0</c:v>
                </c:pt>
              </c:numCache>
            </c:numRef>
          </c:xVal>
          <c:yVal>
            <c:numRef>
              <c:f>Stabilito!$C$124:$C$131</c:f>
              <c:numCache>
                <c:formatCode>0</c:formatCode>
                <c:ptCount val="8"/>
                <c:pt idx="0">
                  <c:v>-250</c:v>
                </c:pt>
                <c:pt idx="1">
                  <c:v>-250</c:v>
                </c:pt>
                <c:pt idx="2">
                  <c:v>-250</c:v>
                </c:pt>
                <c:pt idx="3">
                  <c:v>-250</c:v>
                </c:pt>
                <c:pt idx="4">
                  <c:v>-250</c:v>
                </c:pt>
                <c:pt idx="5">
                  <c:v>-250</c:v>
                </c:pt>
                <c:pt idx="6">
                  <c:v>-1800</c:v>
                </c:pt>
                <c:pt idx="7">
                  <c:v>-1800</c:v>
                </c:pt>
              </c:numCache>
            </c:numRef>
          </c:yVal>
          <c:smooth val="0"/>
          <c:extLst>
            <c:ext xmlns:c16="http://schemas.microsoft.com/office/drawing/2014/chart" uri="{C3380CC4-5D6E-409C-BE32-E72D297353CC}">
              <c16:uniqueId val="{00000002-D940-4017-AF70-0F9C89340F51}"/>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-50</c:v>
                </c:pt>
                <c:pt idx="1">
                  <c:v>-200</c:v>
                </c:pt>
                <c:pt idx="2">
                  <c:v>-200</c:v>
                </c:pt>
                <c:pt idx="3">
                  <c:v>-50</c:v>
                </c:pt>
                <c:pt idx="4">
                  <c:v>-50</c:v>
                </c:pt>
              </c:numCache>
            </c:numRef>
          </c:xVal>
          <c:yVal>
            <c:numRef>
              <c:f>Stabilito!$C$132:$C$136</c:f>
              <c:numCache>
                <c:formatCode>0</c:formatCode>
                <c:ptCount val="5"/>
                <c:pt idx="0">
                  <c:v>-1580</c:v>
                </c:pt>
                <c:pt idx="1">
                  <c:v>-1780</c:v>
                </c:pt>
                <c:pt idx="2">
                  <c:v>-1880</c:v>
                </c:pt>
                <c:pt idx="3">
                  <c:v>-1800</c:v>
                </c:pt>
                <c:pt idx="4">
                  <c:v>-1580</c:v>
                </c:pt>
              </c:numCache>
            </c:numRef>
          </c:yVal>
          <c:smooth val="0"/>
          <c:extLst>
            <c:ext xmlns:c16="http://schemas.microsoft.com/office/drawing/2014/chart" uri="{C3380CC4-5D6E-409C-BE32-E72D297353CC}">
              <c16:uniqueId val="{00000003-D940-4017-AF70-0F9C89340F51}"/>
            </c:ext>
          </c:extLst>
        </c:ser>
        <c:ser>
          <c:idx val="4"/>
          <c:order val="4"/>
          <c:tx>
            <c:strRef>
              <c:f>Stabilito!$B$12</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D940-4017-AF70-0F9C89340F5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-1180.3789364997419</c:v>
                </c:pt>
                <c:pt idx="1">
                  <c:v>-1134.06195099399</c:v>
                </c:pt>
              </c:numCache>
            </c:numRef>
          </c:yVal>
          <c:smooth val="0"/>
          <c:extLst>
            <c:ext xmlns:c16="http://schemas.microsoft.com/office/drawing/2014/chart" uri="{C3380CC4-5D6E-409C-BE32-E72D297353CC}">
              <c16:uniqueId val="{00000005-D940-4017-AF70-0F9C89340F51}"/>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D940-4017-AF70-0F9C89340F5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127.56676226462501</c:v>
                </c:pt>
                <c:pt idx="2">
                  <c:v>127.56676226462501</c:v>
                </c:pt>
                <c:pt idx="3">
                  <c:v>0</c:v>
                </c:pt>
              </c:numCache>
            </c:numRef>
          </c:xVal>
          <c:yVal>
            <c:numRef>
              <c:f>Stabilito!$C$151:$C$154</c:f>
              <c:numCache>
                <c:formatCode>0</c:formatCode>
                <c:ptCount val="4"/>
                <c:pt idx="0">
                  <c:v>-1542.904434046003</c:v>
                </c:pt>
                <c:pt idx="1">
                  <c:v>-1542.904434046003</c:v>
                </c:pt>
                <c:pt idx="2">
                  <c:v>-1542.904434046003</c:v>
                </c:pt>
                <c:pt idx="3">
                  <c:v>-1542.904434046003</c:v>
                </c:pt>
              </c:numCache>
            </c:numRef>
          </c:yVal>
          <c:smooth val="0"/>
          <c:extLst>
            <c:ext xmlns:c16="http://schemas.microsoft.com/office/drawing/2014/chart" uri="{C3380CC4-5D6E-409C-BE32-E72D297353CC}">
              <c16:uniqueId val="{00000007-D940-4017-AF70-0F9C89340F51}"/>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D940-4017-AF70-0F9C89340F51}"/>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D940-4017-AF70-0F9C89340F51}"/>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D940-4017-AF70-0F9C89340F51}"/>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D940-4017-AF70-0F9C89340F51}"/>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600</c:v>
                </c:pt>
                <c:pt idx="1">
                  <c:v>-600</c:v>
                </c:pt>
              </c:numCache>
            </c:numRef>
          </c:xVal>
          <c:yVal>
            <c:numRef>
              <c:f>Stabilito!$C$168:$C$169</c:f>
              <c:numCache>
                <c:formatCode>0</c:formatCode>
                <c:ptCount val="2"/>
                <c:pt idx="0">
                  <c:v>-1898.8</c:v>
                </c:pt>
                <c:pt idx="1">
                  <c:v>-1898.8</c:v>
                </c:pt>
              </c:numCache>
            </c:numRef>
          </c:yVal>
          <c:smooth val="0"/>
          <c:extLst>
            <c:ext xmlns:c16="http://schemas.microsoft.com/office/drawing/2014/chart" uri="{C3380CC4-5D6E-409C-BE32-E72D297353CC}">
              <c16:uniqueId val="{0000000C-D940-4017-AF70-0F9C89340F51}"/>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-27</c:v>
                </c:pt>
                <c:pt idx="1">
                  <c:v>27</c:v>
                </c:pt>
                <c:pt idx="2">
                  <c:v>27</c:v>
                </c:pt>
                <c:pt idx="3">
                  <c:v>-27</c:v>
                </c:pt>
                <c:pt idx="4">
                  <c:v>-27</c:v>
                </c:pt>
              </c:numCache>
            </c:numRef>
          </c:xVal>
          <c:yVal>
            <c:numRef>
              <c:f>Stabilito!$C$170:$C$174</c:f>
              <c:numCache>
                <c:formatCode>0</c:formatCode>
                <c:ptCount val="5"/>
                <c:pt idx="0">
                  <c:v>-1312</c:v>
                </c:pt>
                <c:pt idx="1">
                  <c:v>-1312</c:v>
                </c:pt>
                <c:pt idx="2">
                  <c:v>-1800</c:v>
                </c:pt>
                <c:pt idx="3">
                  <c:v>-1800</c:v>
                </c:pt>
                <c:pt idx="4">
                  <c:v>-1312</c:v>
                </c:pt>
              </c:numCache>
            </c:numRef>
          </c:yVal>
          <c:smooth val="0"/>
          <c:extLst>
            <c:ext xmlns:c16="http://schemas.microsoft.com/office/drawing/2014/chart" uri="{C3380CC4-5D6E-409C-BE32-E72D297353CC}">
              <c16:uniqueId val="{0000000D-D940-4017-AF70-0F9C89340F51}"/>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E-D940-4017-AF70-0F9C89340F51}"/>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-10</c:v>
                </c:pt>
                <c:pt idx="2">
                  <c:v>-25</c:v>
                </c:pt>
                <c:pt idx="3">
                  <c:v>-37.5</c:v>
                </c:pt>
                <c:pt idx="4">
                  <c:v>-45</c:v>
                </c:pt>
                <c:pt idx="5">
                  <c:v>-50</c:v>
                </c:pt>
              </c:numCache>
            </c:numRef>
          </c:xVal>
          <c:yVal>
            <c:numRef>
              <c:f>Stabilito!$C$175:$C$180</c:f>
              <c:numCache>
                <c:formatCode>0</c:formatCode>
                <c:ptCount val="6"/>
                <c:pt idx="0">
                  <c:v>0</c:v>
                </c:pt>
                <c:pt idx="1">
                  <c:v>-25</c:v>
                </c:pt>
                <c:pt idx="2">
                  <c:v>-62.5</c:v>
                </c:pt>
                <c:pt idx="3">
                  <c:v>-125</c:v>
                </c:pt>
                <c:pt idx="4">
                  <c:v>-187.5</c:v>
                </c:pt>
                <c:pt idx="5">
                  <c:v>-250</c:v>
                </c:pt>
              </c:numCache>
            </c:numRef>
          </c:yVal>
          <c:smooth val="0"/>
          <c:extLst>
            <c:ext xmlns:c16="http://schemas.microsoft.com/office/drawing/2014/chart" uri="{C3380CC4-5D6E-409C-BE32-E72D297353CC}">
              <c16:uniqueId val="{0000000F-D940-4017-AF70-0F9C89340F51}"/>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D940-4017-AF70-0F9C89340F5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-200</c:v>
                </c:pt>
                <c:pt idx="1">
                  <c:v>-125</c:v>
                </c:pt>
                <c:pt idx="2">
                  <c:v>-50</c:v>
                </c:pt>
              </c:numCache>
            </c:numRef>
          </c:xVal>
          <c:yVal>
            <c:numRef>
              <c:f>Stabilito!$C$137:$C$139</c:f>
              <c:numCache>
                <c:formatCode>0</c:formatCode>
                <c:ptCount val="3"/>
                <c:pt idx="0">
                  <c:v>-1940</c:v>
                </c:pt>
                <c:pt idx="1">
                  <c:v>-1940</c:v>
                </c:pt>
                <c:pt idx="2">
                  <c:v>-1940</c:v>
                </c:pt>
              </c:numCache>
            </c:numRef>
          </c:yVal>
          <c:smooth val="0"/>
          <c:extLst>
            <c:ext xmlns:c16="http://schemas.microsoft.com/office/drawing/2014/chart" uri="{C3380CC4-5D6E-409C-BE32-E72D297353CC}">
              <c16:uniqueId val="{00000011-D940-4017-AF70-0F9C89340F51}"/>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D940-4017-AF70-0F9C89340F5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-260</c:v>
                </c:pt>
                <c:pt idx="1">
                  <c:v>-260</c:v>
                </c:pt>
                <c:pt idx="2">
                  <c:v>-260</c:v>
                </c:pt>
              </c:numCache>
            </c:numRef>
          </c:xVal>
          <c:yVal>
            <c:numRef>
              <c:f>Stabilito!$C$143:$C$145</c:f>
              <c:numCache>
                <c:formatCode>0</c:formatCode>
                <c:ptCount val="3"/>
                <c:pt idx="0">
                  <c:v>-1580</c:v>
                </c:pt>
                <c:pt idx="1">
                  <c:v>-1680</c:v>
                </c:pt>
                <c:pt idx="2">
                  <c:v>-1780</c:v>
                </c:pt>
              </c:numCache>
            </c:numRef>
          </c:yVal>
          <c:smooth val="0"/>
          <c:extLst>
            <c:ext xmlns:c16="http://schemas.microsoft.com/office/drawing/2014/chart" uri="{C3380CC4-5D6E-409C-BE32-E72D297353CC}">
              <c16:uniqueId val="{00000013-D940-4017-AF70-0F9C89340F51}"/>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D940-4017-AF70-0F9C89340F5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-290</c:v>
                </c:pt>
                <c:pt idx="1">
                  <c:v>-290</c:v>
                </c:pt>
                <c:pt idx="2">
                  <c:v>-290</c:v>
                </c:pt>
              </c:numCache>
            </c:numRef>
          </c:xVal>
          <c:yVal>
            <c:numRef>
              <c:f>Stabilito!$C$146:$C$148</c:f>
              <c:numCache>
                <c:formatCode>0</c:formatCode>
                <c:ptCount val="3"/>
                <c:pt idx="0">
                  <c:v>-1780</c:v>
                </c:pt>
                <c:pt idx="1">
                  <c:v>-1830</c:v>
                </c:pt>
                <c:pt idx="2">
                  <c:v>-1880</c:v>
                </c:pt>
              </c:numCache>
            </c:numRef>
          </c:yVal>
          <c:smooth val="0"/>
          <c:extLst>
            <c:ext xmlns:c16="http://schemas.microsoft.com/office/drawing/2014/chart" uri="{C3380CC4-5D6E-409C-BE32-E72D297353CC}">
              <c16:uniqueId val="{00000015-D940-4017-AF70-0F9C89340F51}"/>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D940-4017-AF70-0F9C89340F5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290</c:v>
                </c:pt>
                <c:pt idx="1">
                  <c:v>290</c:v>
                </c:pt>
                <c:pt idx="2">
                  <c:v>290</c:v>
                </c:pt>
              </c:numCache>
            </c:numRef>
          </c:xVal>
          <c:yVal>
            <c:numRef>
              <c:f>Stabilito!$C$140:$C$142</c:f>
              <c:numCache>
                <c:formatCode>0</c:formatCode>
                <c:ptCount val="3"/>
                <c:pt idx="0">
                  <c:v>-1580</c:v>
                </c:pt>
                <c:pt idx="1">
                  <c:v>-1690</c:v>
                </c:pt>
                <c:pt idx="2">
                  <c:v>-1800</c:v>
                </c:pt>
              </c:numCache>
            </c:numRef>
          </c:yVal>
          <c:smooth val="0"/>
          <c:extLst>
            <c:ext xmlns:c16="http://schemas.microsoft.com/office/drawing/2014/chart" uri="{C3380CC4-5D6E-409C-BE32-E72D297353CC}">
              <c16:uniqueId val="{00000017-D940-4017-AF70-0F9C89340F51}"/>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D940-4017-AF70-0F9C89340F5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-290</c:v>
                </c:pt>
                <c:pt idx="1">
                  <c:v>-290</c:v>
                </c:pt>
                <c:pt idx="2">
                  <c:v>-290</c:v>
                </c:pt>
              </c:numCache>
            </c:numRef>
          </c:xVal>
          <c:yVal>
            <c:numRef>
              <c:f>Stabilito!$C$155:$C$157</c:f>
              <c:numCache>
                <c:formatCode>0</c:formatCode>
                <c:ptCount val="3"/>
                <c:pt idx="0">
                  <c:v>-1157.2204437468658</c:v>
                </c:pt>
                <c:pt idx="1">
                  <c:v>-1350.0624388964343</c:v>
                </c:pt>
                <c:pt idx="2">
                  <c:v>-1542.904434046003</c:v>
                </c:pt>
              </c:numCache>
            </c:numRef>
          </c:yVal>
          <c:smooth val="0"/>
          <c:extLst>
            <c:ext xmlns:c16="http://schemas.microsoft.com/office/drawing/2014/chart" uri="{C3380CC4-5D6E-409C-BE32-E72D297353CC}">
              <c16:uniqueId val="{00000019-D940-4017-AF70-0F9C89340F51}"/>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Abaco!$B$75</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54 mm</c:v>
                </c:pt>
              </c:strCache>
            </c:strRef>
          </c:tx>
          <c:xVal>
            <c:numRef>
              <c:f>Abaco!$D$41:$D$49</c:f>
              <c:numCache>
                <c:formatCode>General\ "kg"</c:formatCode>
                <c:ptCount val="9"/>
                <c:pt idx="0">
                  <c:v>1.6850000000000001</c:v>
                </c:pt>
                <c:pt idx="1">
                  <c:v>3.6850000000000001</c:v>
                </c:pt>
                <c:pt idx="2">
                  <c:v>5.6850000000000005</c:v>
                </c:pt>
                <c:pt idx="3">
                  <c:v>7.6850000000000005</c:v>
                </c:pt>
                <c:pt idx="4">
                  <c:v>9.6850000000000005</c:v>
                </c:pt>
                <c:pt idx="5">
                  <c:v>11.685</c:v>
                </c:pt>
                <c:pt idx="6">
                  <c:v>13.685</c:v>
                </c:pt>
                <c:pt idx="7">
                  <c:v>15.685</c:v>
                </c:pt>
                <c:pt idx="8">
                  <c:v>17.684999999999999</c:v>
                </c:pt>
              </c:numCache>
            </c:numRef>
          </c:xVal>
          <c:yVal>
            <c:numRef>
              <c:f>Abaco!$K$41:$K$49</c:f>
              <c:numCache>
                <c:formatCode>General" m/s"</c:formatCode>
                <c:ptCount val="9"/>
                <c:pt idx="0">
                  <c:v>858.03255877092988</c:v>
                </c:pt>
                <c:pt idx="1">
                  <c:v>530.7258930227166</c:v>
                </c:pt>
                <c:pt idx="2">
                  <c:v>343.04569155714501</c:v>
                </c:pt>
                <c:pt idx="3">
                  <c:v>244.74620787216733</c:v>
                </c:pt>
                <c:pt idx="4">
                  <c:v>186.07349152442239</c:v>
                </c:pt>
                <c:pt idx="5">
                  <c:v>147.43535176199717</c:v>
                </c:pt>
                <c:pt idx="6">
                  <c:v>120.16621558309711</c:v>
                </c:pt>
                <c:pt idx="7">
                  <c:v>99.927421284134724</c:v>
                </c:pt>
                <c:pt idx="8">
                  <c:v>84.325568842902626</c:v>
                </c:pt>
              </c:numCache>
            </c:numRef>
          </c:yVal>
          <c:smooth val="0"/>
          <c:extLst>
            <c:ext xmlns:c16="http://schemas.microsoft.com/office/drawing/2014/chart" uri="{C3380CC4-5D6E-409C-BE32-E72D297353CC}">
              <c16:uniqueId val="{00000000-2F10-46CE-9E3E-87CBC2D7B64A}"/>
            </c:ext>
          </c:extLst>
        </c:ser>
        <c:ser>
          <c:idx val="1"/>
          <c:order val="1"/>
          <c:tx>
            <c:strRef>
              <c:f>Abaco!$B$50</c:f>
              <c:strCache>
                <c:ptCount val="1"/>
                <c:pt idx="0">
                  <c:v>Ø = 100 mm</c:v>
                </c:pt>
              </c:strCache>
            </c:strRef>
          </c:tx>
          <c:xVal>
            <c:numRef>
              <c:f>Abaco!$D$50:$D$58</c:f>
              <c:numCache>
                <c:formatCode>General\ "kg"</c:formatCode>
                <c:ptCount val="9"/>
                <c:pt idx="0">
                  <c:v>1.6850000000000001</c:v>
                </c:pt>
                <c:pt idx="1">
                  <c:v>3.6850000000000001</c:v>
                </c:pt>
                <c:pt idx="2">
                  <c:v>5.6850000000000005</c:v>
                </c:pt>
                <c:pt idx="3">
                  <c:v>7.6850000000000005</c:v>
                </c:pt>
                <c:pt idx="4">
                  <c:v>9.6850000000000005</c:v>
                </c:pt>
                <c:pt idx="5">
                  <c:v>11.685</c:v>
                </c:pt>
                <c:pt idx="6">
                  <c:v>13.685</c:v>
                </c:pt>
                <c:pt idx="7">
                  <c:v>15.685</c:v>
                </c:pt>
                <c:pt idx="8">
                  <c:v>17.684999999999999</c:v>
                </c:pt>
              </c:numCache>
            </c:numRef>
          </c:xVal>
          <c:yVal>
            <c:numRef>
              <c:f>Abaco!$K$50:$K$58</c:f>
              <c:numCache>
                <c:formatCode>General" m/s"</c:formatCode>
                <c:ptCount val="9"/>
                <c:pt idx="0">
                  <c:v>482.56962891531936</c:v>
                </c:pt>
                <c:pt idx="1">
                  <c:v>408.42599659228114</c:v>
                </c:pt>
                <c:pt idx="2">
                  <c:v>303.936521247396</c:v>
                </c:pt>
                <c:pt idx="3">
                  <c:v>229.19515029091576</c:v>
                </c:pt>
                <c:pt idx="4">
                  <c:v>178.78662187416415</c:v>
                </c:pt>
                <c:pt idx="5">
                  <c:v>143.60780095728725</c:v>
                </c:pt>
                <c:pt idx="6">
                  <c:v>117.98580679579163</c:v>
                </c:pt>
                <c:pt idx="7">
                  <c:v>98.609329029149919</c:v>
                </c:pt>
                <c:pt idx="8">
                  <c:v>83.492457077658827</c:v>
                </c:pt>
              </c:numCache>
            </c:numRef>
          </c:yVal>
          <c:smooth val="0"/>
          <c:extLst>
            <c:ext xmlns:c16="http://schemas.microsoft.com/office/drawing/2014/chart" uri="{C3380CC4-5D6E-409C-BE32-E72D297353CC}">
              <c16:uniqueId val="{00000001-2F10-46CE-9E3E-87CBC2D7B64A}"/>
            </c:ext>
          </c:extLst>
        </c:ser>
        <c:ser>
          <c:idx val="2"/>
          <c:order val="2"/>
          <c:tx>
            <c:strRef>
              <c:f>Abaco!$B$59</c:f>
              <c:strCache>
                <c:ptCount val="1"/>
                <c:pt idx="0">
                  <c:v>Ø = 150 mm</c:v>
                </c:pt>
              </c:strCache>
            </c:strRef>
          </c:tx>
          <c:xVal>
            <c:numRef>
              <c:f>Abaco!$D$59:$D$67</c:f>
              <c:numCache>
                <c:formatCode>General\ "kg"</c:formatCode>
                <c:ptCount val="9"/>
                <c:pt idx="0">
                  <c:v>1.6850000000000001</c:v>
                </c:pt>
                <c:pt idx="1">
                  <c:v>3.6850000000000001</c:v>
                </c:pt>
                <c:pt idx="2">
                  <c:v>5.6850000000000005</c:v>
                </c:pt>
                <c:pt idx="3">
                  <c:v>7.6850000000000005</c:v>
                </c:pt>
                <c:pt idx="4">
                  <c:v>9.6850000000000005</c:v>
                </c:pt>
                <c:pt idx="5">
                  <c:v>11.685</c:v>
                </c:pt>
                <c:pt idx="6">
                  <c:v>13.685</c:v>
                </c:pt>
                <c:pt idx="7">
                  <c:v>15.685</c:v>
                </c:pt>
                <c:pt idx="8">
                  <c:v>17.684999999999999</c:v>
                </c:pt>
              </c:numCache>
            </c:numRef>
          </c:xVal>
          <c:yVal>
            <c:numRef>
              <c:f>Abaco!$K$59:$K$67</c:f>
              <c:numCache>
                <c:formatCode>General" m/s"</c:formatCode>
                <c:ptCount val="9"/>
                <c:pt idx="0">
                  <c:v>322.20749964235733</c:v>
                </c:pt>
                <c:pt idx="1">
                  <c:v>303.76208522696015</c:v>
                </c:pt>
                <c:pt idx="2">
                  <c:v>255.97606589868502</c:v>
                </c:pt>
                <c:pt idx="3">
                  <c:v>206.8562994486777</c:v>
                </c:pt>
                <c:pt idx="4">
                  <c:v>167.47182828379562</c:v>
                </c:pt>
                <c:pt idx="5">
                  <c:v>137.40544835195249</c:v>
                </c:pt>
                <c:pt idx="6">
                  <c:v>114.36145822312378</c:v>
                </c:pt>
                <c:pt idx="7">
                  <c:v>96.382526820550765</c:v>
                </c:pt>
                <c:pt idx="8">
                  <c:v>82.069597726235941</c:v>
                </c:pt>
              </c:numCache>
            </c:numRef>
          </c:yVal>
          <c:smooth val="0"/>
          <c:extLst>
            <c:ext xmlns:c16="http://schemas.microsoft.com/office/drawing/2014/chart" uri="{C3380CC4-5D6E-409C-BE32-E72D297353CC}">
              <c16:uniqueId val="{00000002-2F10-46CE-9E3E-87CBC2D7B64A}"/>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Abaco!$B$74</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54 mm</c:v>
                </c:pt>
              </c:strCache>
            </c:strRef>
          </c:tx>
          <c:xVal>
            <c:numRef>
              <c:f>Abaco!$D$41:$D$49</c:f>
              <c:numCache>
                <c:formatCode>General\ "kg"</c:formatCode>
                <c:ptCount val="9"/>
                <c:pt idx="0">
                  <c:v>1.6850000000000001</c:v>
                </c:pt>
                <c:pt idx="1">
                  <c:v>3.6850000000000001</c:v>
                </c:pt>
                <c:pt idx="2">
                  <c:v>5.6850000000000005</c:v>
                </c:pt>
                <c:pt idx="3">
                  <c:v>7.6850000000000005</c:v>
                </c:pt>
                <c:pt idx="4">
                  <c:v>9.6850000000000005</c:v>
                </c:pt>
                <c:pt idx="5">
                  <c:v>11.685</c:v>
                </c:pt>
                <c:pt idx="6">
                  <c:v>13.685</c:v>
                </c:pt>
                <c:pt idx="7">
                  <c:v>15.685</c:v>
                </c:pt>
                <c:pt idx="8">
                  <c:v>17.684999999999999</c:v>
                </c:pt>
              </c:numCache>
            </c:numRef>
          </c:xVal>
          <c:yVal>
            <c:numRef>
              <c:f>Abaco!$L$41:$L$49</c:f>
              <c:numCache>
                <c:formatCode>General" m"</c:formatCode>
                <c:ptCount val="9"/>
                <c:pt idx="0">
                  <c:v>4140.0163847444119</c:v>
                </c:pt>
                <c:pt idx="1">
                  <c:v>5089.9573787425525</c:v>
                </c:pt>
                <c:pt idx="2">
                  <c:v>4058.0456493213251</c:v>
                </c:pt>
                <c:pt idx="3">
                  <c:v>2802.6060648673374</c:v>
                </c:pt>
                <c:pt idx="4">
                  <c:v>1888.8433761052199</c:v>
                </c:pt>
                <c:pt idx="5">
                  <c:v>1300.296919504206</c:v>
                </c:pt>
                <c:pt idx="6">
                  <c:v>924.01818488572371</c:v>
                </c:pt>
                <c:pt idx="7">
                  <c:v>676.80043471102567</c:v>
                </c:pt>
                <c:pt idx="8">
                  <c:v>508.68061117831814</c:v>
                </c:pt>
              </c:numCache>
            </c:numRef>
          </c:yVal>
          <c:smooth val="0"/>
          <c:extLst>
            <c:ext xmlns:c16="http://schemas.microsoft.com/office/drawing/2014/chart" uri="{C3380CC4-5D6E-409C-BE32-E72D297353CC}">
              <c16:uniqueId val="{00000000-1DDB-4B9E-9FE7-33A8C7726A78}"/>
            </c:ext>
          </c:extLst>
        </c:ser>
        <c:ser>
          <c:idx val="1"/>
          <c:order val="1"/>
          <c:tx>
            <c:strRef>
              <c:f>Abaco!$B$50</c:f>
              <c:strCache>
                <c:ptCount val="1"/>
                <c:pt idx="0">
                  <c:v>Ø = 100 mm</c:v>
                </c:pt>
              </c:strCache>
            </c:strRef>
          </c:tx>
          <c:xVal>
            <c:numRef>
              <c:f>Abaco!$D$50:$D$58</c:f>
              <c:numCache>
                <c:formatCode>General\ "kg"</c:formatCode>
                <c:ptCount val="9"/>
                <c:pt idx="0">
                  <c:v>1.6850000000000001</c:v>
                </c:pt>
                <c:pt idx="1">
                  <c:v>3.6850000000000001</c:v>
                </c:pt>
                <c:pt idx="2">
                  <c:v>5.6850000000000005</c:v>
                </c:pt>
                <c:pt idx="3">
                  <c:v>7.6850000000000005</c:v>
                </c:pt>
                <c:pt idx="4">
                  <c:v>9.6850000000000005</c:v>
                </c:pt>
                <c:pt idx="5">
                  <c:v>11.685</c:v>
                </c:pt>
                <c:pt idx="6">
                  <c:v>13.685</c:v>
                </c:pt>
                <c:pt idx="7">
                  <c:v>15.685</c:v>
                </c:pt>
                <c:pt idx="8">
                  <c:v>17.684999999999999</c:v>
                </c:pt>
              </c:numCache>
            </c:numRef>
          </c:xVal>
          <c:yVal>
            <c:numRef>
              <c:f>Abaco!$L$50:$L$58</c:f>
              <c:numCache>
                <c:formatCode>General" m"</c:formatCode>
                <c:ptCount val="9"/>
                <c:pt idx="0">
                  <c:v>2006.5285928599058</c:v>
                </c:pt>
                <c:pt idx="1">
                  <c:v>2429.8437188360358</c:v>
                </c:pt>
                <c:pt idx="2">
                  <c:v>2306.1096728489811</c:v>
                </c:pt>
                <c:pt idx="3">
                  <c:v>1920.4635223858961</c:v>
                </c:pt>
                <c:pt idx="4">
                  <c:v>1490.0484496058139</c:v>
                </c:pt>
                <c:pt idx="5">
                  <c:v>1122.7734428018978</c:v>
                </c:pt>
                <c:pt idx="6">
                  <c:v>842.69711809433386</c:v>
                </c:pt>
                <c:pt idx="7">
                  <c:v>637.85807352103757</c:v>
                </c:pt>
                <c:pt idx="8">
                  <c:v>489.14855173914384</c:v>
                </c:pt>
              </c:numCache>
            </c:numRef>
          </c:yVal>
          <c:smooth val="0"/>
          <c:extLst>
            <c:ext xmlns:c16="http://schemas.microsoft.com/office/drawing/2014/chart" uri="{C3380CC4-5D6E-409C-BE32-E72D297353CC}">
              <c16:uniqueId val="{00000001-1DDB-4B9E-9FE7-33A8C7726A78}"/>
            </c:ext>
          </c:extLst>
        </c:ser>
        <c:ser>
          <c:idx val="2"/>
          <c:order val="2"/>
          <c:tx>
            <c:strRef>
              <c:f>Abaco!$B$59</c:f>
              <c:strCache>
                <c:ptCount val="1"/>
                <c:pt idx="0">
                  <c:v>Ø = 150 mm</c:v>
                </c:pt>
              </c:strCache>
            </c:strRef>
          </c:tx>
          <c:xVal>
            <c:numRef>
              <c:f>Abaco!$D$59:$D$67</c:f>
              <c:numCache>
                <c:formatCode>General\ "kg"</c:formatCode>
                <c:ptCount val="9"/>
                <c:pt idx="0">
                  <c:v>1.6850000000000001</c:v>
                </c:pt>
                <c:pt idx="1">
                  <c:v>3.6850000000000001</c:v>
                </c:pt>
                <c:pt idx="2">
                  <c:v>5.6850000000000005</c:v>
                </c:pt>
                <c:pt idx="3">
                  <c:v>7.6850000000000005</c:v>
                </c:pt>
                <c:pt idx="4">
                  <c:v>9.6850000000000005</c:v>
                </c:pt>
                <c:pt idx="5">
                  <c:v>11.685</c:v>
                </c:pt>
                <c:pt idx="6">
                  <c:v>13.685</c:v>
                </c:pt>
                <c:pt idx="7">
                  <c:v>15.685</c:v>
                </c:pt>
                <c:pt idx="8">
                  <c:v>17.684999999999999</c:v>
                </c:pt>
              </c:numCache>
            </c:numRef>
          </c:xVal>
          <c:yVal>
            <c:numRef>
              <c:f>Abaco!$L$59:$L$67</c:f>
              <c:numCache>
                <c:formatCode>General" m"</c:formatCode>
                <c:ptCount val="9"/>
                <c:pt idx="0">
                  <c:v>1277.399790386964</c:v>
                </c:pt>
                <c:pt idx="1">
                  <c:v>1478.8998444500298</c:v>
                </c:pt>
                <c:pt idx="2">
                  <c:v>1475.0581872819207</c:v>
                </c:pt>
                <c:pt idx="3">
                  <c:v>1339.4959723794955</c:v>
                </c:pt>
                <c:pt idx="4">
                  <c:v>1138.9112897572484</c:v>
                </c:pt>
                <c:pt idx="5">
                  <c:v>927.9489737513552</c:v>
                </c:pt>
                <c:pt idx="6">
                  <c:v>738.64740380656156</c:v>
                </c:pt>
                <c:pt idx="7">
                  <c:v>582.63923101288674</c:v>
                </c:pt>
                <c:pt idx="8">
                  <c:v>459.5034346278789</c:v>
                </c:pt>
              </c:numCache>
            </c:numRef>
          </c:yVal>
          <c:smooth val="0"/>
          <c:extLst>
            <c:ext xmlns:c16="http://schemas.microsoft.com/office/drawing/2014/chart" uri="{C3380CC4-5D6E-409C-BE32-E72D297353CC}">
              <c16:uniqueId val="{00000002-1DDB-4B9E-9FE7-33A8C7726A78}"/>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Abaco!$B$73</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Abaco!$B$76</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Abaco!$B$41</c:f>
              <c:strCache>
                <c:ptCount val="1"/>
                <c:pt idx="0">
                  <c:v>Ø = 54 mm</c:v>
                </c:pt>
              </c:strCache>
            </c:strRef>
          </c:tx>
          <c:xVal>
            <c:numRef>
              <c:f>Abaco!$D$41:$D$49</c:f>
              <c:numCache>
                <c:formatCode>General\ "kg"</c:formatCode>
                <c:ptCount val="9"/>
                <c:pt idx="0">
                  <c:v>1.6850000000000001</c:v>
                </c:pt>
                <c:pt idx="1">
                  <c:v>3.6850000000000001</c:v>
                </c:pt>
                <c:pt idx="2">
                  <c:v>5.6850000000000005</c:v>
                </c:pt>
                <c:pt idx="3">
                  <c:v>7.6850000000000005</c:v>
                </c:pt>
                <c:pt idx="4">
                  <c:v>9.6850000000000005</c:v>
                </c:pt>
                <c:pt idx="5">
                  <c:v>11.685</c:v>
                </c:pt>
                <c:pt idx="6">
                  <c:v>13.685</c:v>
                </c:pt>
                <c:pt idx="7">
                  <c:v>15.685</c:v>
                </c:pt>
                <c:pt idx="8">
                  <c:v>17.684999999999999</c:v>
                </c:pt>
              </c:numCache>
            </c:numRef>
          </c:xVal>
          <c:yVal>
            <c:numRef>
              <c:f>Abaco!$M$41:$M$49</c:f>
              <c:numCache>
                <c:formatCode>General" s"</c:formatCode>
                <c:ptCount val="9"/>
                <c:pt idx="0">
                  <c:v>17.801914529830043</c:v>
                </c:pt>
                <c:pt idx="1">
                  <c:v>27.59436252360247</c:v>
                </c:pt>
                <c:pt idx="2">
                  <c:v>27.808858978293276</c:v>
                </c:pt>
                <c:pt idx="3">
                  <c:v>24.614968950357603</c:v>
                </c:pt>
                <c:pt idx="4">
                  <c:v>21.007302489027058</c:v>
                </c:pt>
                <c:pt idx="5">
                  <c:v>17.946163792828496</c:v>
                </c:pt>
                <c:pt idx="6">
                  <c:v>15.521595270119338</c:v>
                </c:pt>
                <c:pt idx="7">
                  <c:v>13.615511958579361</c:v>
                </c:pt>
                <c:pt idx="8">
                  <c:v>12.099967550261276</c:v>
                </c:pt>
              </c:numCache>
            </c:numRef>
          </c:yVal>
          <c:smooth val="0"/>
          <c:extLst>
            <c:ext xmlns:c16="http://schemas.microsoft.com/office/drawing/2014/chart" uri="{C3380CC4-5D6E-409C-BE32-E72D297353CC}">
              <c16:uniqueId val="{00000000-7448-492B-A20B-85734594FF53}"/>
            </c:ext>
          </c:extLst>
        </c:ser>
        <c:ser>
          <c:idx val="1"/>
          <c:order val="1"/>
          <c:tx>
            <c:strRef>
              <c:f>Abaco!$B$50</c:f>
              <c:strCache>
                <c:ptCount val="1"/>
                <c:pt idx="0">
                  <c:v>Ø = 100 mm</c:v>
                </c:pt>
              </c:strCache>
            </c:strRef>
          </c:tx>
          <c:xVal>
            <c:numRef>
              <c:f>Abaco!$D$50:$D$58</c:f>
              <c:numCache>
                <c:formatCode>General\ "kg"</c:formatCode>
                <c:ptCount val="9"/>
                <c:pt idx="0">
                  <c:v>1.6850000000000001</c:v>
                </c:pt>
                <c:pt idx="1">
                  <c:v>3.6850000000000001</c:v>
                </c:pt>
                <c:pt idx="2">
                  <c:v>5.6850000000000005</c:v>
                </c:pt>
                <c:pt idx="3">
                  <c:v>7.6850000000000005</c:v>
                </c:pt>
                <c:pt idx="4">
                  <c:v>9.6850000000000005</c:v>
                </c:pt>
                <c:pt idx="5">
                  <c:v>11.685</c:v>
                </c:pt>
                <c:pt idx="6">
                  <c:v>13.685</c:v>
                </c:pt>
                <c:pt idx="7">
                  <c:v>15.685</c:v>
                </c:pt>
                <c:pt idx="8">
                  <c:v>17.684999999999999</c:v>
                </c:pt>
              </c:numCache>
            </c:numRef>
          </c:xVal>
          <c:yVal>
            <c:numRef>
              <c:f>Abaco!$M$50:$M$58</c:f>
              <c:numCache>
                <c:formatCode>General" s"</c:formatCode>
                <c:ptCount val="9"/>
                <c:pt idx="0">
                  <c:v>11.287475424538179</c:v>
                </c:pt>
                <c:pt idx="1">
                  <c:v>17.599482338218742</c:v>
                </c:pt>
                <c:pt idx="2">
                  <c:v>19.671116474999451</c:v>
                </c:pt>
                <c:pt idx="3">
                  <c:v>19.501463691517948</c:v>
                </c:pt>
                <c:pt idx="4">
                  <c:v>18.156168712463934</c:v>
                </c:pt>
                <c:pt idx="5">
                  <c:v>16.408250080678428</c:v>
                </c:pt>
                <c:pt idx="6">
                  <c:v>14.682701164671066</c:v>
                </c:pt>
                <c:pt idx="7">
                  <c:v>13.144443340086733</c:v>
                </c:pt>
                <c:pt idx="8">
                  <c:v>11.826475378402664</c:v>
                </c:pt>
              </c:numCache>
            </c:numRef>
          </c:yVal>
          <c:smooth val="0"/>
          <c:extLst>
            <c:ext xmlns:c16="http://schemas.microsoft.com/office/drawing/2014/chart" uri="{C3380CC4-5D6E-409C-BE32-E72D297353CC}">
              <c16:uniqueId val="{00000001-7448-492B-A20B-85734594FF53}"/>
            </c:ext>
          </c:extLst>
        </c:ser>
        <c:ser>
          <c:idx val="2"/>
          <c:order val="2"/>
          <c:tx>
            <c:strRef>
              <c:f>Abaco!$B$59</c:f>
              <c:strCache>
                <c:ptCount val="1"/>
                <c:pt idx="0">
                  <c:v>Ø = 150 mm</c:v>
                </c:pt>
              </c:strCache>
            </c:strRef>
          </c:tx>
          <c:xVal>
            <c:numRef>
              <c:f>Abaco!$D$59:$D$67</c:f>
              <c:numCache>
                <c:formatCode>General\ "kg"</c:formatCode>
                <c:ptCount val="9"/>
                <c:pt idx="0">
                  <c:v>1.6850000000000001</c:v>
                </c:pt>
                <c:pt idx="1">
                  <c:v>3.6850000000000001</c:v>
                </c:pt>
                <c:pt idx="2">
                  <c:v>5.6850000000000005</c:v>
                </c:pt>
                <c:pt idx="3">
                  <c:v>7.6850000000000005</c:v>
                </c:pt>
                <c:pt idx="4">
                  <c:v>9.6850000000000005</c:v>
                </c:pt>
                <c:pt idx="5">
                  <c:v>11.685</c:v>
                </c:pt>
                <c:pt idx="6">
                  <c:v>13.685</c:v>
                </c:pt>
                <c:pt idx="7">
                  <c:v>15.685</c:v>
                </c:pt>
                <c:pt idx="8">
                  <c:v>17.684999999999999</c:v>
                </c:pt>
              </c:numCache>
            </c:numRef>
          </c:xVal>
          <c:yVal>
            <c:numRef>
              <c:f>Abaco!$M$59:$M$67</c:f>
              <c:numCache>
                <c:formatCode>General" s"</c:formatCode>
                <c:ptCount val="9"/>
                <c:pt idx="0">
                  <c:v>8.7222184311874607</c:v>
                </c:pt>
                <c:pt idx="1">
                  <c:v>13.105873614308981</c:v>
                </c:pt>
                <c:pt idx="2">
                  <c:v>15.069623391374682</c:v>
                </c:pt>
                <c:pt idx="3">
                  <c:v>15.710120750495822</c:v>
                </c:pt>
                <c:pt idx="4">
                  <c:v>15.44582139493653</c:v>
                </c:pt>
                <c:pt idx="5">
                  <c:v>14.635467706175648</c:v>
                </c:pt>
                <c:pt idx="6">
                  <c:v>13.574776762659866</c:v>
                </c:pt>
                <c:pt idx="7">
                  <c:v>12.462505575603505</c:v>
                </c:pt>
                <c:pt idx="8">
                  <c:v>11.405637384031312</c:v>
                </c:pt>
              </c:numCache>
            </c:numRef>
          </c:yVal>
          <c:smooth val="0"/>
          <c:extLst>
            <c:ext xmlns:c16="http://schemas.microsoft.com/office/drawing/2014/chart" uri="{C3380CC4-5D6E-409C-BE32-E72D297353CC}">
              <c16:uniqueId val="{00000002-7448-492B-A20B-85734594FF53}"/>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Abaco!$B$73</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Abaco!$B$78</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723-4605-BB5B-529A9B4BDF16}"/>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extLst>
            <c:ext xmlns:c16="http://schemas.microsoft.com/office/drawing/2014/chart" uri="{C3380CC4-5D6E-409C-BE32-E72D297353CC}">
              <c16:uniqueId val="{00000001-D723-4605-BB5B-529A9B4BDF16}"/>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723-4605-BB5B-529A9B4BDF16}"/>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723-4605-BB5B-529A9B4BDF16}"/>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13.333333333333334</c:v>
                </c:pt>
                <c:pt idx="4">
                  <c:v>8</c:v>
                </c:pt>
                <c:pt idx="5">
                  <c:v>5.7142857142857144</c:v>
                </c:pt>
              </c:numCache>
            </c:numRef>
          </c:yVal>
          <c:smooth val="1"/>
          <c:extLst>
            <c:ext xmlns:c16="http://schemas.microsoft.com/office/drawing/2014/chart" uri="{C3380CC4-5D6E-409C-BE32-E72D297353CC}">
              <c16:uniqueId val="{00000004-D723-4605-BB5B-529A9B4BDF16}"/>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723-4605-BB5B-529A9B4BDF16}"/>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extLst>
            <c:ext xmlns:c16="http://schemas.microsoft.com/office/drawing/2014/chart" uri="{C3380CC4-5D6E-409C-BE32-E72D297353CC}">
              <c16:uniqueId val="{00000006-D723-4605-BB5B-529A9B4BDF16}"/>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3.6363636363636362</c:v>
                </c:pt>
                <c:pt idx="1">
                  <c:v>7</c:v>
                </c:pt>
              </c:numCache>
            </c:numRef>
          </c:xVal>
          <c:yVal>
            <c:numRef>
              <c:f>Stabilito!$C$197:$C$198</c:f>
              <c:numCache>
                <c:formatCode>General</c:formatCode>
                <c:ptCount val="2"/>
                <c:pt idx="0">
                  <c:v>27.5</c:v>
                </c:pt>
                <c:pt idx="1">
                  <c:v>27.5</c:v>
                </c:pt>
              </c:numCache>
            </c:numRef>
          </c:yVal>
          <c:smooth val="1"/>
          <c:extLst>
            <c:ext xmlns:c16="http://schemas.microsoft.com/office/drawing/2014/chart" uri="{C3380CC4-5D6E-409C-BE32-E72D297353CC}">
              <c16:uniqueId val="{00000007-D723-4605-BB5B-529A9B4BDF16}"/>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723-4605-BB5B-529A9B4BDF16}"/>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extLst>
            <c:ext xmlns:c16="http://schemas.microsoft.com/office/drawing/2014/chart" uri="{C3380CC4-5D6E-409C-BE32-E72D297353CC}">
              <c16:uniqueId val="{00000009-D723-4605-BB5B-529A9B4BDF16}"/>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3.6252549754626102</c:v>
                </c:pt>
                <c:pt idx="1">
                  <c:v>3.6252549754626102</c:v>
                </c:pt>
                <c:pt idx="2">
                  <c:v>4.0884248305201298</c:v>
                </c:pt>
                <c:pt idx="3">
                  <c:v>4.0884248305201298</c:v>
                </c:pt>
              </c:numCache>
            </c:numRef>
          </c:xVal>
          <c:yVal>
            <c:numRef>
              <c:f>Stabilito!$C$190:$C$193</c:f>
              <c:numCache>
                <c:formatCode>0.00</c:formatCode>
                <c:ptCount val="4"/>
                <c:pt idx="0">
                  <c:v>19.135014339693754</c:v>
                </c:pt>
                <c:pt idx="1">
                  <c:v>19.135014339693754</c:v>
                </c:pt>
                <c:pt idx="2">
                  <c:v>19.135014339693754</c:v>
                </c:pt>
                <c:pt idx="3">
                  <c:v>19.135014339693754</c:v>
                </c:pt>
              </c:numCache>
            </c:numRef>
          </c:yVal>
          <c:smooth val="0"/>
          <c:extLst>
            <c:ext xmlns:c16="http://schemas.microsoft.com/office/drawing/2014/chart" uri="{C3380CC4-5D6E-409C-BE32-E72D297353CC}">
              <c16:uniqueId val="{0000000A-D723-4605-BB5B-529A9B4BDF16}"/>
            </c:ext>
          </c:extLst>
        </c:ser>
        <c:ser>
          <c:idx val="11"/>
          <c:order val="5"/>
          <c:tx>
            <c:v>Fusée en cours0</c:v>
          </c:tx>
          <c:spPr>
            <a:ln w="25400">
              <a:solidFill>
                <a:schemeClr val="tx1"/>
              </a:solidFill>
            </a:ln>
          </c:spPr>
          <c:marker>
            <c:symbol val="none"/>
          </c:marker>
          <c:xVal>
            <c:numRef>
              <c:f>Stabilito!$B$193:$B$194</c:f>
              <c:numCache>
                <c:formatCode>0.00</c:formatCode>
                <c:ptCount val="2"/>
                <c:pt idx="0">
                  <c:v>4.0884248305201298</c:v>
                </c:pt>
                <c:pt idx="1">
                  <c:v>3.6252549754626102</c:v>
                </c:pt>
              </c:numCache>
            </c:numRef>
          </c:xVal>
          <c:yVal>
            <c:numRef>
              <c:f>Stabilito!$C$193:$C$194</c:f>
              <c:numCache>
                <c:formatCode>0.00</c:formatCode>
                <c:ptCount val="2"/>
                <c:pt idx="0">
                  <c:v>19.135014339693754</c:v>
                </c:pt>
                <c:pt idx="1">
                  <c:v>19.135014339693754</c:v>
                </c:pt>
              </c:numCache>
            </c:numRef>
          </c:yVal>
          <c:smooth val="0"/>
          <c:extLst>
            <c:ext xmlns:c16="http://schemas.microsoft.com/office/drawing/2014/chart" uri="{C3380CC4-5D6E-409C-BE32-E72D297353CC}">
              <c16:uniqueId val="{0000000B-D723-4605-BB5B-529A9B4BDF16}"/>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Trajecto!$B$110</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Trajecto!$B$120</c:f>
              <c:numCache>
                <c:formatCode>0</c:formatCode>
                <c:ptCount val="1"/>
                <c:pt idx="0">
                  <c:v>1415.3356551860206</c:v>
                </c:pt>
              </c:numCache>
            </c:numRef>
          </c:xVal>
          <c:yVal>
            <c:numRef>
              <c:f>Trajecto!$C$118</c:f>
              <c:numCache>
                <c:formatCode>0</c:formatCode>
                <c:ptCount val="1"/>
                <c:pt idx="0">
                  <c:v>1415.3356551860206</c:v>
                </c:pt>
              </c:numCache>
            </c:numRef>
          </c:yVal>
          <c:smooth val="1"/>
          <c:extLst>
            <c:ext xmlns:c16="http://schemas.microsoft.com/office/drawing/2014/chart" uri="{C3380CC4-5D6E-409C-BE32-E72D297353CC}">
              <c16:uniqueId val="{00000000-2EC3-45DE-9EED-17088B7968F0}"/>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6.8769272815013487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28.777933772062124</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63.67884686045079</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105.02415996941711</c:v>
                </c:pt>
                <c:pt idx="401">
                  <c:v>#N/A</c:v>
                </c:pt>
                <c:pt idx="402">
                  <c:v>#N/A</c:v>
                </c:pt>
                <c:pt idx="403">
                  <c:v>#N/A</c:v>
                </c:pt>
                <c:pt idx="404">
                  <c:v>#N/A</c:v>
                </c:pt>
                <c:pt idx="405">
                  <c:v>#N/A</c:v>
                </c:pt>
                <c:pt idx="406">
                  <c:v>#N/A</c:v>
                </c:pt>
                <c:pt idx="407">
                  <c:v>#N/A</c:v>
                </c:pt>
                <c:pt idx="408">
                  <c:v>#N/A</c:v>
                </c:pt>
                <c:pt idx="409">
                  <c:v>#N/A</c:v>
                </c:pt>
                <c:pt idx="410">
                  <c:v>144.83242613396564</c:v>
                </c:pt>
                <c:pt idx="411">
                  <c:v>#N/A</c:v>
                </c:pt>
                <c:pt idx="412">
                  <c:v>#N/A</c:v>
                </c:pt>
                <c:pt idx="413">
                  <c:v>#N/A</c:v>
                </c:pt>
                <c:pt idx="414">
                  <c:v>#N/A</c:v>
                </c:pt>
                <c:pt idx="415">
                  <c:v>#N/A</c:v>
                </c:pt>
                <c:pt idx="416">
                  <c:v>#N/A</c:v>
                </c:pt>
                <c:pt idx="417">
                  <c:v>#N/A</c:v>
                </c:pt>
                <c:pt idx="418">
                  <c:v>#N/A</c:v>
                </c:pt>
                <c:pt idx="419">
                  <c:v>#N/A</c:v>
                </c:pt>
                <c:pt idx="420">
                  <c:v>182.87515786795063</c:v>
                </c:pt>
                <c:pt idx="421">
                  <c:v>#N/A</c:v>
                </c:pt>
                <c:pt idx="422">
                  <c:v>#N/A</c:v>
                </c:pt>
                <c:pt idx="423">
                  <c:v>#N/A</c:v>
                </c:pt>
                <c:pt idx="424">
                  <c:v>#N/A</c:v>
                </c:pt>
                <c:pt idx="425">
                  <c:v>#N/A</c:v>
                </c:pt>
                <c:pt idx="426">
                  <c:v>#N/A</c:v>
                </c:pt>
                <c:pt idx="427">
                  <c:v>#N/A</c:v>
                </c:pt>
                <c:pt idx="428">
                  <c:v>#N/A</c:v>
                </c:pt>
                <c:pt idx="429">
                  <c:v>#N/A</c:v>
                </c:pt>
                <c:pt idx="430">
                  <c:v>219.4232302962412</c:v>
                </c:pt>
                <c:pt idx="431">
                  <c:v>#N/A</c:v>
                </c:pt>
                <c:pt idx="432">
                  <c:v>#N/A</c:v>
                </c:pt>
                <c:pt idx="433">
                  <c:v>#N/A</c:v>
                </c:pt>
                <c:pt idx="434">
                  <c:v>#N/A</c:v>
                </c:pt>
                <c:pt idx="435">
                  <c:v>#N/A</c:v>
                </c:pt>
                <c:pt idx="436">
                  <c:v>#N/A</c:v>
                </c:pt>
                <c:pt idx="437">
                  <c:v>#N/A</c:v>
                </c:pt>
                <c:pt idx="438">
                  <c:v>#N/A</c:v>
                </c:pt>
                <c:pt idx="439">
                  <c:v>#N/A</c:v>
                </c:pt>
                <c:pt idx="440">
                  <c:v>254.70064446170224</c:v>
                </c:pt>
                <c:pt idx="441">
                  <c:v>#N/A</c:v>
                </c:pt>
                <c:pt idx="442">
                  <c:v>#N/A</c:v>
                </c:pt>
                <c:pt idx="443">
                  <c:v>#N/A</c:v>
                </c:pt>
                <c:pt idx="444">
                  <c:v>#N/A</c:v>
                </c:pt>
                <c:pt idx="445">
                  <c:v>#N/A</c:v>
                </c:pt>
                <c:pt idx="446">
                  <c:v>#N/A</c:v>
                </c:pt>
                <c:pt idx="447">
                  <c:v>#N/A</c:v>
                </c:pt>
                <c:pt idx="448">
                  <c:v>#N/A</c:v>
                </c:pt>
                <c:pt idx="449">
                  <c:v>#N/A</c:v>
                </c:pt>
                <c:pt idx="450">
                  <c:v>288.89557459602042</c:v>
                </c:pt>
                <c:pt idx="451">
                  <c:v>#N/A</c:v>
                </c:pt>
                <c:pt idx="452">
                  <c:v>#N/A</c:v>
                </c:pt>
                <c:pt idx="453">
                  <c:v>#N/A</c:v>
                </c:pt>
                <c:pt idx="454">
                  <c:v>#N/A</c:v>
                </c:pt>
                <c:pt idx="455">
                  <c:v>#N/A</c:v>
                </c:pt>
                <c:pt idx="456">
                  <c:v>#N/A</c:v>
                </c:pt>
                <c:pt idx="457">
                  <c:v>#N/A</c:v>
                </c:pt>
                <c:pt idx="458">
                  <c:v>#N/A</c:v>
                </c:pt>
                <c:pt idx="459">
                  <c:v>#N/A</c:v>
                </c:pt>
                <c:pt idx="460">
                  <c:v>322.16831414085152</c:v>
                </c:pt>
                <c:pt idx="461">
                  <c:v>#N/A</c:v>
                </c:pt>
                <c:pt idx="462">
                  <c:v>#N/A</c:v>
                </c:pt>
                <c:pt idx="463">
                  <c:v>#N/A</c:v>
                </c:pt>
                <c:pt idx="464">
                  <c:v>#N/A</c:v>
                </c:pt>
                <c:pt idx="465">
                  <c:v>#N/A</c:v>
                </c:pt>
                <c:pt idx="466">
                  <c:v>#N/A</c:v>
                </c:pt>
                <c:pt idx="467">
                  <c:v>#N/A</c:v>
                </c:pt>
                <c:pt idx="468">
                  <c:v>#N/A</c:v>
                </c:pt>
                <c:pt idx="469">
                  <c:v>#N/A</c:v>
                </c:pt>
                <c:pt idx="470">
                  <c:v>354.65705674805741</c:v>
                </c:pt>
                <c:pt idx="471">
                  <c:v>#N/A</c:v>
                </c:pt>
                <c:pt idx="472">
                  <c:v>#N/A</c:v>
                </c:pt>
                <c:pt idx="473">
                  <c:v>#N/A</c:v>
                </c:pt>
                <c:pt idx="474">
                  <c:v>#N/A</c:v>
                </c:pt>
                <c:pt idx="475">
                  <c:v>#N/A</c:v>
                </c:pt>
                <c:pt idx="476">
                  <c:v>#N/A</c:v>
                </c:pt>
                <c:pt idx="477">
                  <c:v>#N/A</c:v>
                </c:pt>
                <c:pt idx="478">
                  <c:v>#N/A</c:v>
                </c:pt>
                <c:pt idx="479">
                  <c:v>#N/A</c:v>
                </c:pt>
                <c:pt idx="480">
                  <c:v>386.48208548825284</c:v>
                </c:pt>
                <c:pt idx="481">
                  <c:v>#N/A</c:v>
                </c:pt>
                <c:pt idx="482">
                  <c:v>#N/A</c:v>
                </c:pt>
                <c:pt idx="483">
                  <c:v>#N/A</c:v>
                </c:pt>
                <c:pt idx="484">
                  <c:v>#N/A</c:v>
                </c:pt>
                <c:pt idx="485">
                  <c:v>#N/A</c:v>
                </c:pt>
                <c:pt idx="486">
                  <c:v>#N/A</c:v>
                </c:pt>
                <c:pt idx="487">
                  <c:v>#N/A</c:v>
                </c:pt>
                <c:pt idx="488">
                  <c:v>#N/A</c:v>
                </c:pt>
                <c:pt idx="489">
                  <c:v>#N/A</c:v>
                </c:pt>
                <c:pt idx="490">
                  <c:v>417.74869026229499</c:v>
                </c:pt>
                <c:pt idx="491">
                  <c:v>#N/A</c:v>
                </c:pt>
                <c:pt idx="492">
                  <c:v>#N/A</c:v>
                </c:pt>
                <c:pt idx="493">
                  <c:v>#N/A</c:v>
                </c:pt>
                <c:pt idx="494">
                  <c:v>#N/A</c:v>
                </c:pt>
                <c:pt idx="495">
                  <c:v>#N/A</c:v>
                </c:pt>
                <c:pt idx="496">
                  <c:v>#N/A</c:v>
                </c:pt>
                <c:pt idx="497">
                  <c:v>#N/A</c:v>
                </c:pt>
                <c:pt idx="498">
                  <c:v>#N/A</c:v>
                </c:pt>
                <c:pt idx="499">
                  <c:v>#N/A</c:v>
                </c:pt>
                <c:pt idx="500">
                  <c:v>448.54891798336308</c:v>
                </c:pt>
                <c:pt idx="501">
                  <c:v>#N/A</c:v>
                </c:pt>
                <c:pt idx="502">
                  <c:v>#N/A</c:v>
                </c:pt>
                <c:pt idx="503">
                  <c:v>#N/A</c:v>
                </c:pt>
                <c:pt idx="504">
                  <c:v>#N/A</c:v>
                </c:pt>
                <c:pt idx="505">
                  <c:v>#N/A</c:v>
                </c:pt>
                <c:pt idx="506">
                  <c:v>#N/A</c:v>
                </c:pt>
                <c:pt idx="507">
                  <c:v>#N/A</c:v>
                </c:pt>
                <c:pt idx="508">
                  <c:v>#N/A</c:v>
                </c:pt>
                <c:pt idx="509">
                  <c:v>#N/A</c:v>
                </c:pt>
                <c:pt idx="510">
                  <c:v>478.96202504989873</c:v>
                </c:pt>
                <c:pt idx="511">
                  <c:v>#N/A</c:v>
                </c:pt>
                <c:pt idx="512">
                  <c:v>#N/A</c:v>
                </c:pt>
                <c:pt idx="513">
                  <c:v>#N/A</c:v>
                </c:pt>
                <c:pt idx="514">
                  <c:v>#N/A</c:v>
                </c:pt>
                <c:pt idx="515">
                  <c:v>#N/A</c:v>
                </c:pt>
                <c:pt idx="516">
                  <c:v>#N/A</c:v>
                </c:pt>
                <c:pt idx="517">
                  <c:v>#N/A</c:v>
                </c:pt>
                <c:pt idx="518">
                  <c:v>#N/A</c:v>
                </c:pt>
                <c:pt idx="519">
                  <c:v>#N/A</c:v>
                </c:pt>
                <c:pt idx="520">
                  <c:v>509.05322987280238</c:v>
                </c:pt>
                <c:pt idx="521">
                  <c:v>#N/A</c:v>
                </c:pt>
                <c:pt idx="522">
                  <c:v>#N/A</c:v>
                </c:pt>
                <c:pt idx="523">
                  <c:v>#N/A</c:v>
                </c:pt>
                <c:pt idx="524">
                  <c:v>#N/A</c:v>
                </c:pt>
                <c:pt idx="525">
                  <c:v>#N/A</c:v>
                </c:pt>
                <c:pt idx="526">
                  <c:v>#N/A</c:v>
                </c:pt>
                <c:pt idx="527">
                  <c:v>#N/A</c:v>
                </c:pt>
                <c:pt idx="528">
                  <c:v>#N/A</c:v>
                </c:pt>
                <c:pt idx="529">
                  <c:v>#N/A</c:v>
                </c:pt>
                <c:pt idx="530">
                  <c:v>538.87028128280849</c:v>
                </c:pt>
                <c:pt idx="531">
                  <c:v>#N/A</c:v>
                </c:pt>
                <c:pt idx="532">
                  <c:v>#N/A</c:v>
                </c:pt>
                <c:pt idx="533">
                  <c:v>#N/A</c:v>
                </c:pt>
                <c:pt idx="534">
                  <c:v>#N/A</c:v>
                </c:pt>
                <c:pt idx="535">
                  <c:v>#N/A</c:v>
                </c:pt>
                <c:pt idx="536">
                  <c:v>#N/A</c:v>
                </c:pt>
                <c:pt idx="537">
                  <c:v>#N/A</c:v>
                </c:pt>
                <c:pt idx="538">
                  <c:v>#N/A</c:v>
                </c:pt>
                <c:pt idx="539">
                  <c:v>#N/A</c:v>
                </c:pt>
                <c:pt idx="540">
                  <c:v>568.43839017619291</c:v>
                </c:pt>
                <c:pt idx="541">
                  <c:v>#N/A</c:v>
                </c:pt>
                <c:pt idx="542">
                  <c:v>#N/A</c:v>
                </c:pt>
                <c:pt idx="543">
                  <c:v>#N/A</c:v>
                </c:pt>
                <c:pt idx="544">
                  <c:v>#N/A</c:v>
                </c:pt>
                <c:pt idx="545">
                  <c:v>#N/A</c:v>
                </c:pt>
                <c:pt idx="546">
                  <c:v>#N/A</c:v>
                </c:pt>
                <c:pt idx="547">
                  <c:v>#N/A</c:v>
                </c:pt>
                <c:pt idx="548">
                  <c:v>#N/A</c:v>
                </c:pt>
                <c:pt idx="549">
                  <c:v>#N/A</c:v>
                </c:pt>
                <c:pt idx="550">
                  <c:v>597.75686086089729</c:v>
                </c:pt>
                <c:pt idx="551">
                  <c:v>#N/A</c:v>
                </c:pt>
                <c:pt idx="552">
                  <c:v>#N/A</c:v>
                </c:pt>
                <c:pt idx="553">
                  <c:v>#N/A</c:v>
                </c:pt>
                <c:pt idx="554">
                  <c:v>#N/A</c:v>
                </c:pt>
                <c:pt idx="555">
                  <c:v>#N/A</c:v>
                </c:pt>
                <c:pt idx="556">
                  <c:v>#N/A</c:v>
                </c:pt>
                <c:pt idx="557">
                  <c:v>#N/A</c:v>
                </c:pt>
                <c:pt idx="558">
                  <c:v>#N/A</c:v>
                </c:pt>
                <c:pt idx="559">
                  <c:v>#N/A</c:v>
                </c:pt>
                <c:pt idx="560">
                  <c:v>626.80144018512499</c:v>
                </c:pt>
                <c:pt idx="561">
                  <c:v>#N/A</c:v>
                </c:pt>
                <c:pt idx="562">
                  <c:v>#N/A</c:v>
                </c:pt>
                <c:pt idx="563">
                  <c:v>#N/A</c:v>
                </c:pt>
                <c:pt idx="564">
                  <c:v>#N/A</c:v>
                </c:pt>
                <c:pt idx="565">
                  <c:v>#N/A</c:v>
                </c:pt>
                <c:pt idx="566">
                  <c:v>#N/A</c:v>
                </c:pt>
                <c:pt idx="567">
                  <c:v>#N/A</c:v>
                </c:pt>
                <c:pt idx="568">
                  <c:v>#N/A</c:v>
                </c:pt>
                <c:pt idx="569">
                  <c:v>#N/A</c:v>
                </c:pt>
                <c:pt idx="570">
                  <c:v>655.53132393712917</c:v>
                </c:pt>
                <c:pt idx="571">
                  <c:v>#N/A</c:v>
                </c:pt>
                <c:pt idx="572">
                  <c:v>#N/A</c:v>
                </c:pt>
                <c:pt idx="573">
                  <c:v>#N/A</c:v>
                </c:pt>
                <c:pt idx="574">
                  <c:v>#N/A</c:v>
                </c:pt>
                <c:pt idx="575">
                  <c:v>#N/A</c:v>
                </c:pt>
                <c:pt idx="576">
                  <c:v>#N/A</c:v>
                </c:pt>
                <c:pt idx="577">
                  <c:v>#N/A</c:v>
                </c:pt>
                <c:pt idx="578">
                  <c:v>#N/A</c:v>
                </c:pt>
                <c:pt idx="579">
                  <c:v>#N/A</c:v>
                </c:pt>
                <c:pt idx="580">
                  <c:v>683.89637183603941</c:v>
                </c:pt>
                <c:pt idx="581">
                  <c:v>#N/A</c:v>
                </c:pt>
                <c:pt idx="582">
                  <c:v>#N/A</c:v>
                </c:pt>
                <c:pt idx="583">
                  <c:v>#N/A</c:v>
                </c:pt>
                <c:pt idx="584">
                  <c:v>#N/A</c:v>
                </c:pt>
                <c:pt idx="585">
                  <c:v>#N/A</c:v>
                </c:pt>
                <c:pt idx="586">
                  <c:v>#N/A</c:v>
                </c:pt>
                <c:pt idx="587">
                  <c:v>#N/A</c:v>
                </c:pt>
                <c:pt idx="588">
                  <c:v>#N/A</c:v>
                </c:pt>
                <c:pt idx="589">
                  <c:v>#N/A</c:v>
                </c:pt>
                <c:pt idx="590">
                  <c:v>711.84230973613296</c:v>
                </c:pt>
                <c:pt idx="591">
                  <c:v>#N/A</c:v>
                </c:pt>
                <c:pt idx="592">
                  <c:v>#N/A</c:v>
                </c:pt>
                <c:pt idx="593">
                  <c:v>#N/A</c:v>
                </c:pt>
                <c:pt idx="594">
                  <c:v>#N/A</c:v>
                </c:pt>
                <c:pt idx="595">
                  <c:v>#N/A</c:v>
                </c:pt>
                <c:pt idx="596">
                  <c:v>#N/A</c:v>
                </c:pt>
                <c:pt idx="597">
                  <c:v>#N/A</c:v>
                </c:pt>
                <c:pt idx="598">
                  <c:v>#N/A</c:v>
                </c:pt>
                <c:pt idx="599">
                  <c:v>#N/A</c:v>
                </c:pt>
                <c:pt idx="600">
                  <c:v>739.31406834073061</c:v>
                </c:pt>
                <c:pt idx="601">
                  <c:v>#N/A</c:v>
                </c:pt>
                <c:pt idx="602">
                  <c:v>#N/A</c:v>
                </c:pt>
                <c:pt idx="603">
                  <c:v>#N/A</c:v>
                </c:pt>
                <c:pt idx="604">
                  <c:v>#N/A</c:v>
                </c:pt>
                <c:pt idx="605">
                  <c:v>#N/A</c:v>
                </c:pt>
                <c:pt idx="606">
                  <c:v>#N/A</c:v>
                </c:pt>
                <c:pt idx="607">
                  <c:v>#N/A</c:v>
                </c:pt>
                <c:pt idx="608">
                  <c:v>#N/A</c:v>
                </c:pt>
                <c:pt idx="609">
                  <c:v>#N/A</c:v>
                </c:pt>
                <c:pt idx="610">
                  <c:v>766.25792317137234</c:v>
                </c:pt>
                <c:pt idx="611">
                  <c:v>#N/A</c:v>
                </c:pt>
                <c:pt idx="612">
                  <c:v>#N/A</c:v>
                </c:pt>
                <c:pt idx="613">
                  <c:v>#N/A</c:v>
                </c:pt>
                <c:pt idx="614">
                  <c:v>#N/A</c:v>
                </c:pt>
                <c:pt idx="615">
                  <c:v>#N/A</c:v>
                </c:pt>
                <c:pt idx="616">
                  <c:v>#N/A</c:v>
                </c:pt>
                <c:pt idx="617">
                  <c:v>#N/A</c:v>
                </c:pt>
                <c:pt idx="618">
                  <c:v>#N/A</c:v>
                </c:pt>
                <c:pt idx="619">
                  <c:v>#N/A</c:v>
                </c:pt>
                <c:pt idx="620">
                  <c:v>792.62291717665619</c:v>
                </c:pt>
                <c:pt idx="621">
                  <c:v>#N/A</c:v>
                </c:pt>
                <c:pt idx="622">
                  <c:v>#N/A</c:v>
                </c:pt>
                <c:pt idx="623">
                  <c:v>#N/A</c:v>
                </c:pt>
                <c:pt idx="624">
                  <c:v>#N/A</c:v>
                </c:pt>
                <c:pt idx="625">
                  <c:v>#N/A</c:v>
                </c:pt>
                <c:pt idx="626">
                  <c:v>#N/A</c:v>
                </c:pt>
                <c:pt idx="627">
                  <c:v>#N/A</c:v>
                </c:pt>
                <c:pt idx="628">
                  <c:v>#N/A</c:v>
                </c:pt>
                <c:pt idx="629">
                  <c:v>#N/A</c:v>
                </c:pt>
                <c:pt idx="630">
                  <c:v>818.36183847391567</c:v>
                </c:pt>
                <c:pt idx="631">
                  <c:v>#N/A</c:v>
                </c:pt>
                <c:pt idx="632">
                  <c:v>#N/A</c:v>
                </c:pt>
                <c:pt idx="633">
                  <c:v>#N/A</c:v>
                </c:pt>
                <c:pt idx="634">
                  <c:v>#N/A</c:v>
                </c:pt>
                <c:pt idx="635">
                  <c:v>#N/A</c:v>
                </c:pt>
                <c:pt idx="636">
                  <c:v>#N/A</c:v>
                </c:pt>
                <c:pt idx="637">
                  <c:v>#N/A</c:v>
                </c:pt>
                <c:pt idx="638">
                  <c:v>#N/A</c:v>
                </c:pt>
                <c:pt idx="639">
                  <c:v>#N/A</c:v>
                </c:pt>
                <c:pt idx="640">
                  <c:v>843.43190010438923</c:v>
                </c:pt>
                <c:pt idx="641">
                  <c:v>#N/A</c:v>
                </c:pt>
                <c:pt idx="642">
                  <c:v>#N/A</c:v>
                </c:pt>
                <c:pt idx="643">
                  <c:v>#N/A</c:v>
                </c:pt>
                <c:pt idx="644">
                  <c:v>#N/A</c:v>
                </c:pt>
                <c:pt idx="645">
                  <c:v>#N/A</c:v>
                </c:pt>
                <c:pt idx="646">
                  <c:v>#N/A</c:v>
                </c:pt>
                <c:pt idx="647">
                  <c:v>#N/A</c:v>
                </c:pt>
                <c:pt idx="648">
                  <c:v>#N/A</c:v>
                </c:pt>
                <c:pt idx="649">
                  <c:v>#N/A</c:v>
                </c:pt>
                <c:pt idx="650">
                  <c:v>867.79520270073738</c:v>
                </c:pt>
                <c:pt idx="651">
                  <c:v>#N/A</c:v>
                </c:pt>
                <c:pt idx="652">
                  <c:v>#N/A</c:v>
                </c:pt>
                <c:pt idx="653">
                  <c:v>#N/A</c:v>
                </c:pt>
                <c:pt idx="654">
                  <c:v>#N/A</c:v>
                </c:pt>
                <c:pt idx="655">
                  <c:v>#N/A</c:v>
                </c:pt>
                <c:pt idx="656">
                  <c:v>#N/A</c:v>
                </c:pt>
                <c:pt idx="657">
                  <c:v>#N/A</c:v>
                </c:pt>
                <c:pt idx="658">
                  <c:v>#N/A</c:v>
                </c:pt>
                <c:pt idx="659">
                  <c:v>#N/A</c:v>
                </c:pt>
                <c:pt idx="660">
                  <c:v>891.41902740142257</c:v>
                </c:pt>
                <c:pt idx="661">
                  <c:v>#N/A</c:v>
                </c:pt>
                <c:pt idx="662">
                  <c:v>#N/A</c:v>
                </c:pt>
                <c:pt idx="663">
                  <c:v>#N/A</c:v>
                </c:pt>
                <c:pt idx="664">
                  <c:v>#N/A</c:v>
                </c:pt>
                <c:pt idx="665">
                  <c:v>#N/A</c:v>
                </c:pt>
                <c:pt idx="666">
                  <c:v>#N/A</c:v>
                </c:pt>
                <c:pt idx="667">
                  <c:v>#N/A</c:v>
                </c:pt>
                <c:pt idx="668">
                  <c:v>#N/A</c:v>
                </c:pt>
                <c:pt idx="669">
                  <c:v>#N/A</c:v>
                </c:pt>
                <c:pt idx="670">
                  <c:v>914.27598935925073</c:v>
                </c:pt>
                <c:pt idx="671">
                  <c:v>#N/A</c:v>
                </c:pt>
                <c:pt idx="672">
                  <c:v>#N/A</c:v>
                </c:pt>
                <c:pt idx="673">
                  <c:v>#N/A</c:v>
                </c:pt>
                <c:pt idx="674">
                  <c:v>#N/A</c:v>
                </c:pt>
                <c:pt idx="675">
                  <c:v>#N/A</c:v>
                </c:pt>
                <c:pt idx="676">
                  <c:v>#N/A</c:v>
                </c:pt>
                <c:pt idx="677">
                  <c:v>#N/A</c:v>
                </c:pt>
                <c:pt idx="678">
                  <c:v>#N/A</c:v>
                </c:pt>
                <c:pt idx="679">
                  <c:v>#N/A</c:v>
                </c:pt>
                <c:pt idx="680">
                  <c:v>936.34407361465924</c:v>
                </c:pt>
                <c:pt idx="681">
                  <c:v>#N/A</c:v>
                </c:pt>
                <c:pt idx="682">
                  <c:v>#N/A</c:v>
                </c:pt>
                <c:pt idx="683">
                  <c:v>#N/A</c:v>
                </c:pt>
                <c:pt idx="684">
                  <c:v>#N/A</c:v>
                </c:pt>
                <c:pt idx="685">
                  <c:v>#N/A</c:v>
                </c:pt>
                <c:pt idx="686">
                  <c:v>#N/A</c:v>
                </c:pt>
                <c:pt idx="687">
                  <c:v>#N/A</c:v>
                </c:pt>
                <c:pt idx="688">
                  <c:v>#N/A</c:v>
                </c:pt>
                <c:pt idx="689">
                  <c:v>#N/A</c:v>
                </c:pt>
                <c:pt idx="690">
                  <c:v>957.60657079477892</c:v>
                </c:pt>
                <c:pt idx="691">
                  <c:v>#N/A</c:v>
                </c:pt>
                <c:pt idx="692">
                  <c:v>#N/A</c:v>
                </c:pt>
                <c:pt idx="693">
                  <c:v>#N/A</c:v>
                </c:pt>
                <c:pt idx="694">
                  <c:v>#N/A</c:v>
                </c:pt>
                <c:pt idx="695">
                  <c:v>#N/A</c:v>
                </c:pt>
                <c:pt idx="696">
                  <c:v>#N/A</c:v>
                </c:pt>
                <c:pt idx="697">
                  <c:v>#N/A</c:v>
                </c:pt>
                <c:pt idx="698">
                  <c:v>#N/A</c:v>
                </c:pt>
                <c:pt idx="699">
                  <c:v>#N/A</c:v>
                </c:pt>
                <c:pt idx="700">
                  <c:v>978.05192792138359</c:v>
                </c:pt>
                <c:pt idx="701">
                  <c:v>#N/A</c:v>
                </c:pt>
                <c:pt idx="702">
                  <c:v>#N/A</c:v>
                </c:pt>
                <c:pt idx="703">
                  <c:v>#N/A</c:v>
                </c:pt>
                <c:pt idx="704">
                  <c:v>#N/A</c:v>
                </c:pt>
                <c:pt idx="705">
                  <c:v>#N/A</c:v>
                </c:pt>
                <c:pt idx="706">
                  <c:v>#N/A</c:v>
                </c:pt>
                <c:pt idx="707">
                  <c:v>#N/A</c:v>
                </c:pt>
                <c:pt idx="708">
                  <c:v>#N/A</c:v>
                </c:pt>
                <c:pt idx="709">
                  <c:v>#N/A</c:v>
                </c:pt>
                <c:pt idx="710">
                  <c:v>997.67352843952574</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0</c:v>
                </c:pt>
                <c:pt idx="2">
                  <c:v>8.8659929951468331E-4</c:v>
                </c:pt>
                <c:pt idx="3">
                  <c:v>4.4551282218210728E-3</c:v>
                </c:pt>
                <c:pt idx="4">
                  <c:v>1.252376084757101E-2</c:v>
                </c:pt>
                <c:pt idx="5">
                  <c:v>2.6912343102871397E-2</c:v>
                </c:pt>
                <c:pt idx="6">
                  <c:v>4.8982521190609973E-2</c:v>
                </c:pt>
                <c:pt idx="7">
                  <c:v>7.9176829171388755E-2</c:v>
                </c:pt>
                <c:pt idx="8">
                  <c:v>0.11747781638166428</c:v>
                </c:pt>
                <c:pt idx="9">
                  <c:v>0.16386796803219167</c:v>
                </c:pt>
                <c:pt idx="10">
                  <c:v>0.21832970542708824</c:v>
                </c:pt>
                <c:pt idx="11">
                  <c:v>0.28084538618456867</c:v>
                </c:pt>
                <c:pt idx="12">
                  <c:v>0.35139730445933887</c:v>
                </c:pt>
                <c:pt idx="13">
                  <c:v>0.42996769116663514</c:v>
                </c:pt>
                <c:pt idx="14">
                  <c:v>0.51653871420789566</c:v>
                </c:pt>
                <c:pt idx="15">
                  <c:v>0.6110924786980505</c:v>
                </c:pt>
                <c:pt idx="16">
                  <c:v>0.71361102719441705</c:v>
                </c:pt>
                <c:pt idx="17">
                  <c:v>0.82407633992718732</c:v>
                </c:pt>
                <c:pt idx="18">
                  <c:v>0.94247033503149291</c:v>
                </c:pt>
                <c:pt idx="19">
                  <c:v>1.0687748687810346</c:v>
                </c:pt>
                <c:pt idx="20">
                  <c:v>1.2029717358232617</c:v>
                </c:pt>
                <c:pt idx="21">
                  <c:v>1.3450426694160895</c:v>
                </c:pt>
                <c:pt idx="22">
                  <c:v>1.4949693416661369</c:v>
                </c:pt>
                <c:pt idx="23">
                  <c:v>1.6527333637684745</c:v>
                </c:pt>
                <c:pt idx="24">
                  <c:v>1.8183162862478643</c:v>
                </c:pt>
                <c:pt idx="25">
                  <c:v>1.9916995992014821</c:v>
                </c:pt>
                <c:pt idx="26">
                  <c:v>2.1728647325431032</c:v>
                </c:pt>
                <c:pt idx="27">
                  <c:v>2.361793056248739</c:v>
                </c:pt>
                <c:pt idx="28">
                  <c:v>2.5584658806037122</c:v>
                </c:pt>
                <c:pt idx="29">
                  <c:v>2.7628644564511502</c:v>
                </c:pt>
                <c:pt idx="30">
                  <c:v>2.9749699754418892</c:v>
                </c:pt>
                <c:pt idx="31">
                  <c:v>3.1947635702857671</c:v>
                </c:pt>
                <c:pt idx="32">
                  <c:v>3.4222263150042971</c:v>
                </c:pt>
                <c:pt idx="33">
                  <c:v>3.657339225184701</c:v>
                </c:pt>
                <c:pt idx="34">
                  <c:v>3.9000832582352913</c:v>
                </c:pt>
                <c:pt idx="35">
                  <c:v>4.1504393136421855</c:v>
                </c:pt>
                <c:pt idx="36">
                  <c:v>4.408373436395542</c:v>
                </c:pt>
                <c:pt idx="37">
                  <c:v>4.6738511390822293</c:v>
                </c:pt>
                <c:pt idx="38">
                  <c:v>4.9468522042620924</c:v>
                </c:pt>
                <c:pt idx="39">
                  <c:v>5.2273563746255851</c:v>
                </c:pt>
                <c:pt idx="40">
                  <c:v>5.5153433591705081</c:v>
                </c:pt>
                <c:pt idx="41">
                  <c:v>5.8107928324423543</c:v>
                </c:pt>
                <c:pt idx="42">
                  <c:v>6.1136844338504801</c:v>
                </c:pt>
                <c:pt idx="43">
                  <c:v>6.4239977670528514</c:v>
                </c:pt>
                <c:pt idx="44">
                  <c:v>6.7417123994029753</c:v>
                </c:pt>
                <c:pt idx="45">
                  <c:v>7.0668078614533849</c:v>
                </c:pt>
                <c:pt idx="46">
                  <c:v>7.3992636465106711</c:v>
                </c:pt>
                <c:pt idx="47">
                  <c:v>7.7390592102376212</c:v>
                </c:pt>
                <c:pt idx="48">
                  <c:v>8.0861739702985052</c:v>
                </c:pt>
                <c:pt idx="49">
                  <c:v>8.4405873060439625</c:v>
                </c:pt>
                <c:pt idx="50">
                  <c:v>8.8022785582323149</c:v>
                </c:pt>
                <c:pt idx="51">
                  <c:v>9.1712294446431297</c:v>
                </c:pt>
                <c:pt idx="52">
                  <c:v>9.5474264786206469</c:v>
                </c:pt>
                <c:pt idx="53">
                  <c:v>9.9308585571787109</c:v>
                </c:pt>
                <c:pt idx="54">
                  <c:v>10.321514546175811</c:v>
                </c:pt>
                <c:pt idx="55">
                  <c:v>10.719383280064211</c:v>
                </c:pt>
                <c:pt idx="56">
                  <c:v>11.124453561659102</c:v>
                </c:pt>
                <c:pt idx="57">
                  <c:v>11.536714161926477</c:v>
                </c:pt>
                <c:pt idx="58">
                  <c:v>11.956153819788485</c:v>
                </c:pt>
                <c:pt idx="59">
                  <c:v>12.38276124194517</c:v>
                </c:pt>
                <c:pt idx="60">
                  <c:v>12.816525102711584</c:v>
                </c:pt>
                <c:pt idx="61">
                  <c:v>13.25743404386931</c:v>
                </c:pt>
                <c:pt idx="62">
                  <c:v>13.705476674531562</c:v>
                </c:pt>
                <c:pt idx="63">
                  <c:v>14.160641571021051</c:v>
                </c:pt>
                <c:pt idx="64">
                  <c:v>14.622917276759887</c:v>
                </c:pt>
                <c:pt idx="65">
                  <c:v>15.092292302170847</c:v>
                </c:pt>
                <c:pt idx="66">
                  <c:v>15.568755124589369</c:v>
                </c:pt>
                <c:pt idx="67">
                  <c:v>16.052294188185709</c:v>
                </c:pt>
                <c:pt idx="68">
                  <c:v>16.542897903896698</c:v>
                </c:pt>
                <c:pt idx="69">
                  <c:v>17.04055464936663</c:v>
                </c:pt>
                <c:pt idx="70">
                  <c:v>17.545252768896773</c:v>
                </c:pt>
                <c:pt idx="71">
                  <c:v>18.056980573403123</c:v>
                </c:pt>
                <c:pt idx="72">
                  <c:v>18.575726340381934</c:v>
                </c:pt>
                <c:pt idx="73">
                  <c:v>19.101478313882705</c:v>
                </c:pt>
                <c:pt idx="74">
                  <c:v>19.634224704488243</c:v>
                </c:pt>
                <c:pt idx="75">
                  <c:v>20.173953689301449</c:v>
                </c:pt>
                <c:pt idx="76">
                  <c:v>20.720653411938581</c:v>
                </c:pt>
                <c:pt idx="77">
                  <c:v>21.274311982528634</c:v>
                </c:pt>
                <c:pt idx="78">
                  <c:v>21.834917477718612</c:v>
                </c:pt>
                <c:pt idx="79">
                  <c:v>22.402457940684428</c:v>
                </c:pt>
                <c:pt idx="80">
                  <c:v>22.976921381147175</c:v>
                </c:pt>
                <c:pt idx="81">
                  <c:v>23.558295775394551</c:v>
                </c:pt>
                <c:pt idx="82">
                  <c:v>24.146569066307247</c:v>
                </c:pt>
                <c:pt idx="83">
                  <c:v>24.741729163390048</c:v>
                </c:pt>
                <c:pt idx="84">
                  <c:v>25.343763942807509</c:v>
                </c:pt>
                <c:pt idx="85">
                  <c:v>25.952661247424011</c:v>
                </c:pt>
                <c:pt idx="86">
                  <c:v>26.56840888684799</c:v>
                </c:pt>
                <c:pt idx="87">
                  <c:v>27.190994637480255</c:v>
                </c:pt>
                <c:pt idx="88">
                  <c:v>27.820406242566154</c:v>
                </c:pt>
                <c:pt idx="89">
                  <c:v>28.456631412251536</c:v>
                </c:pt>
                <c:pt idx="90">
                  <c:v>29.099657823642289</c:v>
                </c:pt>
                <c:pt idx="91">
                  <c:v>29.749473120867389</c:v>
                </c:pt>
                <c:pt idx="92">
                  <c:v>30.406064915145301</c:v>
                </c:pt>
                <c:pt idx="93">
                  <c:v>31.069420784853619</c:v>
                </c:pt>
                <c:pt idx="94">
                  <c:v>31.739528275601867</c:v>
                </c:pt>
                <c:pt idx="95">
                  <c:v>32.416374900307289</c:v>
                </c:pt>
                <c:pt idx="96">
                  <c:v>33.099948139273614</c:v>
                </c:pt>
                <c:pt idx="97">
                  <c:v>33.790235440272603</c:v>
                </c:pt>
                <c:pt idx="98">
                  <c:v>34.487224218628398</c:v>
                </c:pt>
                <c:pt idx="99">
                  <c:v>35.190901857304453</c:v>
                </c:pt>
                <c:pt idx="100">
                  <c:v>35.901255706993105</c:v>
                </c:pt>
                <c:pt idx="101">
                  <c:v>36.618271977656789</c:v>
                </c:pt>
                <c:pt idx="102">
                  <c:v>37.341934628980148</c:v>
                </c:pt>
                <c:pt idx="103">
                  <c:v>38.072226477618543</c:v>
                </c:pt>
                <c:pt idx="104">
                  <c:v>38.809130305572602</c:v>
                </c:pt>
                <c:pt idx="105">
                  <c:v>39.552628860354062</c:v>
                </c:pt>
                <c:pt idx="106">
                  <c:v>40.302704855153841</c:v>
                </c:pt>
                <c:pt idx="107">
                  <c:v>41.059340969012339</c:v>
                </c:pt>
                <c:pt idx="108">
                  <c:v>41.822519846991852</c:v>
                </c:pt>
                <c:pt idx="109">
                  <c:v>42.592224100351054</c:v>
                </c:pt>
                <c:pt idx="110">
                  <c:v>43.368436306721478</c:v>
                </c:pt>
                <c:pt idx="111">
                  <c:v>44.15113901028591</c:v>
                </c:pt>
                <c:pt idx="112">
                  <c:v>44.94031472195865</c:v>
                </c:pt>
                <c:pt idx="113">
                  <c:v>45.735945919567605</c:v>
                </c:pt>
                <c:pt idx="114">
                  <c:v>46.538015048038091</c:v>
                </c:pt>
                <c:pt idx="115">
                  <c:v>47.346504519578353</c:v>
                </c:pt>
                <c:pt idx="116">
                  <c:v>48.161396713866722</c:v>
                </c:pt>
                <c:pt idx="117">
                  <c:v>48.982673978240364</c:v>
                </c:pt>
                <c:pt idx="118">
                  <c:v>49.810318627885536</c:v>
                </c:pt>
                <c:pt idx="119">
                  <c:v>50.644312946029373</c:v>
                </c:pt>
                <c:pt idx="120">
                  <c:v>51.484639184133087</c:v>
                </c:pt>
                <c:pt idx="121">
                  <c:v>52.331279562086578</c:v>
                </c:pt>
                <c:pt idx="122">
                  <c:v>53.184216268404384</c:v>
                </c:pt>
                <c:pt idx="123">
                  <c:v>54.043431460422944</c:v>
                </c:pt>
                <c:pt idx="124">
                  <c:v>54.908907264499128</c:v>
                </c:pt>
                <c:pt idx="125">
                  <c:v>55.780625776209995</c:v>
                </c:pt>
                <c:pt idx="126">
                  <c:v>56.658569060553738</c:v>
                </c:pt>
                <c:pt idx="127">
                  <c:v>57.54271915215179</c:v>
                </c:pt>
                <c:pt idx="128">
                  <c:v>58.433058055452001</c:v>
                </c:pt>
                <c:pt idx="129">
                  <c:v>59.329567744932952</c:v>
                </c:pt>
                <c:pt idx="130">
                  <c:v>60.232230165309247</c:v>
                </c:pt>
                <c:pt idx="131">
                  <c:v>61.141027231737873</c:v>
                </c:pt>
                <c:pt idx="132">
                  <c:v>62.05594083002547</c:v>
                </c:pt>
                <c:pt idx="133">
                  <c:v>62.976952816836601</c:v>
                </c:pt>
                <c:pt idx="134">
                  <c:v>63.904045019902888</c:v>
                </c:pt>
                <c:pt idx="135">
                  <c:v>64.83719923823304</c:v>
                </c:pt>
                <c:pt idx="136">
                  <c:v>65.776397242323739</c:v>
                </c:pt>
                <c:pt idx="137">
                  <c:v>66.721620774371331</c:v>
                </c:pt>
                <c:pt idx="138">
                  <c:v>67.672851548484317</c:v>
                </c:pt>
                <c:pt idx="139">
                  <c:v>68.630071250896577</c:v>
                </c:pt>
                <c:pt idx="140">
                  <c:v>69.593261540181359</c:v>
                </c:pt>
                <c:pt idx="141">
                  <c:v>70.562404047465989</c:v>
                </c:pt>
                <c:pt idx="142">
                  <c:v>71.53748037664721</c:v>
                </c:pt>
                <c:pt idx="143">
                  <c:v>72.518472104607213</c:v>
                </c:pt>
                <c:pt idx="144">
                  <c:v>73.505360781430269</c:v>
                </c:pt>
                <c:pt idx="145">
                  <c:v>74.498127930620001</c:v>
                </c:pt>
                <c:pt idx="146">
                  <c:v>75.496755049317201</c:v>
                </c:pt>
                <c:pt idx="147">
                  <c:v>76.501223608518259</c:v>
                </c:pt>
                <c:pt idx="148">
                  <c:v>77.511515053294033</c:v>
                </c:pt>
                <c:pt idx="149">
                  <c:v>78.52761080300931</c:v>
                </c:pt>
                <c:pt idx="150">
                  <c:v>79.549492251542716</c:v>
                </c:pt>
                <c:pt idx="151">
                  <c:v>80.577141143215641</c:v>
                </c:pt>
                <c:pt idx="152">
                  <c:v>81.610539948971692</c:v>
                </c:pt>
                <c:pt idx="153">
                  <c:v>82.649671491142087</c:v>
                </c:pt>
                <c:pt idx="154">
                  <c:v>83.694518567950325</c:v>
                </c:pt>
                <c:pt idx="155">
                  <c:v>84.74506395371192</c:v>
                </c:pt>
                <c:pt idx="156">
                  <c:v>85.801290399034514</c:v>
                </c:pt>
                <c:pt idx="157">
                  <c:v>86.863180631018466</c:v>
                </c:pt>
                <c:pt idx="158">
                  <c:v>87.930717353457709</c:v>
                </c:pt>
                <c:pt idx="159">
                  <c:v>89.003883247041045</c:v>
                </c:pt>
                <c:pt idx="160">
                  <c:v>90.082660969553714</c:v>
                </c:pt>
                <c:pt idx="161">
                  <c:v>91.167033156079356</c:v>
                </c:pt>
                <c:pt idx="162">
                  <c:v>92.25698241920216</c:v>
                </c:pt>
                <c:pt idx="163">
                  <c:v>93.352491349209444</c:v>
                </c:pt>
                <c:pt idx="164">
                  <c:v>94.453542514294384</c:v>
                </c:pt>
                <c:pt idx="165">
                  <c:v>95.560118460759085</c:v>
                </c:pt>
                <c:pt idx="166">
                  <c:v>96.672201713217802</c:v>
                </c:pt>
                <c:pt idx="167">
                  <c:v>97.789774774800492</c:v>
                </c:pt>
                <c:pt idx="168">
                  <c:v>98.912820127356468</c:v>
                </c:pt>
                <c:pt idx="169">
                  <c:v>100.04132023165833</c:v>
                </c:pt>
                <c:pt idx="170">
                  <c:v>101.17525752760604</c:v>
                </c:pt>
                <c:pt idx="171">
                  <c:v>102.31461443443112</c:v>
                </c:pt>
                <c:pt idx="172">
                  <c:v>103.45937335090112</c:v>
                </c:pt>
                <c:pt idx="173">
                  <c:v>104.60951665552405</c:v>
                </c:pt>
                <c:pt idx="174">
                  <c:v>105.76502670675308</c:v>
                </c:pt>
                <c:pt idx="175">
                  <c:v>106.92588584319128</c:v>
                </c:pt>
                <c:pt idx="176">
                  <c:v>108.09207638379648</c:v>
                </c:pt>
                <c:pt idx="177">
                  <c:v>109.26358062808617</c:v>
                </c:pt>
                <c:pt idx="178">
                  <c:v>110.44038085634251</c:v>
                </c:pt>
                <c:pt idx="179">
                  <c:v>111.62245932981739</c:v>
                </c:pt>
                <c:pt idx="180">
                  <c:v>112.80979829093748</c:v>
                </c:pt>
                <c:pt idx="181">
                  <c:v>114.00237996350937</c:v>
                </c:pt>
                <c:pt idx="182">
                  <c:v>115.20018655292471</c:v>
                </c:pt>
                <c:pt idx="183">
                  <c:v>116.4032002463653</c:v>
                </c:pt>
                <c:pt idx="184">
                  <c:v>117.61140321300827</c:v>
                </c:pt>
                <c:pt idx="185">
                  <c:v>118.82477760423113</c:v>
                </c:pt>
                <c:pt idx="186">
                  <c:v>120.04330555381686</c:v>
                </c:pt>
                <c:pt idx="187">
                  <c:v>121.26696917815894</c:v>
                </c:pt>
                <c:pt idx="188">
                  <c:v>122.49575057646628</c:v>
                </c:pt>
                <c:pt idx="189">
                  <c:v>123.72963183096813</c:v>
                </c:pt>
                <c:pt idx="190">
                  <c:v>124.96859500711891</c:v>
                </c:pt>
                <c:pt idx="191">
                  <c:v>126.21262215380287</c:v>
                </c:pt>
                <c:pt idx="192">
                  <c:v>127.46169530353878</c:v>
                </c:pt>
                <c:pt idx="193">
                  <c:v>128.71579647268433</c:v>
                </c:pt>
                <c:pt idx="194">
                  <c:v>129.97490766164066</c:v>
                </c:pt>
                <c:pt idx="195">
                  <c:v>131.23901085505636</c:v>
                </c:pt>
                <c:pt idx="196">
                  <c:v>132.50808802203181</c:v>
                </c:pt>
                <c:pt idx="197">
                  <c:v>133.78212111632291</c:v>
                </c:pt>
                <c:pt idx="198">
                  <c:v>135.06109207654495</c:v>
                </c:pt>
                <c:pt idx="199">
                  <c:v>136.34498282637617</c:v>
                </c:pt>
                <c:pt idx="200">
                  <c:v>137.63377527476106</c:v>
                </c:pt>
                <c:pt idx="201">
                  <c:v>138.92745131611372</c:v>
                </c:pt>
                <c:pt idx="202">
                  <c:v>140.22599283052065</c:v>
                </c:pt>
                <c:pt idx="203">
                  <c:v>141.52938168394365</c:v>
                </c:pt>
                <c:pt idx="204">
                  <c:v>142.8375997284223</c:v>
                </c:pt>
                <c:pt idx="205">
                  <c:v>144.1506288022762</c:v>
                </c:pt>
                <c:pt idx="206">
                  <c:v>145.46845073030707</c:v>
                </c:pt>
                <c:pt idx="207">
                  <c:v>146.79104732400052</c:v>
                </c:pt>
                <c:pt idx="208">
                  <c:v>148.1184003817275</c:v>
                </c:pt>
                <c:pt idx="209">
                  <c:v>149.45049168894562</c:v>
                </c:pt>
                <c:pt idx="210">
                  <c:v>150.78730301840002</c:v>
                </c:pt>
                <c:pt idx="211">
                  <c:v>152.12881613032408</c:v>
                </c:pt>
                <c:pt idx="212">
                  <c:v>153.4750127726397</c:v>
                </c:pt>
                <c:pt idx="213">
                  <c:v>154.82587468115739</c:v>
                </c:pt>
                <c:pt idx="214">
                  <c:v>156.18138357977588</c:v>
                </c:pt>
                <c:pt idx="215">
                  <c:v>157.5415211806816</c:v>
                </c:pt>
                <c:pt idx="216">
                  <c:v>158.90626918454765</c:v>
                </c:pt>
                <c:pt idx="217">
                  <c:v>160.27560928073251</c:v>
                </c:pt>
                <c:pt idx="218">
                  <c:v>161.64952314747833</c:v>
                </c:pt>
                <c:pt idx="219">
                  <c:v>163.02799245210889</c:v>
                </c:pt>
                <c:pt idx="220">
                  <c:v>164.41099885122722</c:v>
                </c:pt>
                <c:pt idx="221">
                  <c:v>165.79852399091274</c:v>
                </c:pt>
                <c:pt idx="222">
                  <c:v>167.19054950691816</c:v>
                </c:pt>
                <c:pt idx="223">
                  <c:v>168.5870570248658</c:v>
                </c:pt>
                <c:pt idx="224">
                  <c:v>169.98802816044363</c:v>
                </c:pt>
                <c:pt idx="225">
                  <c:v>171.39344451960088</c:v>
                </c:pt>
                <c:pt idx="226">
                  <c:v>172.80328769874316</c:v>
                </c:pt>
                <c:pt idx="227">
                  <c:v>174.21753928492726</c:v>
                </c:pt>
                <c:pt idx="228">
                  <c:v>175.63618085605532</c:v>
                </c:pt>
                <c:pt idx="229">
                  <c:v>177.05919398106889</c:v>
                </c:pt>
                <c:pt idx="230">
                  <c:v>178.48656022014211</c:v>
                </c:pt>
                <c:pt idx="231">
                  <c:v>179.91826112487485</c:v>
                </c:pt>
                <c:pt idx="232">
                  <c:v>181.35427823848499</c:v>
                </c:pt>
                <c:pt idx="233">
                  <c:v>182.79459309600063</c:v>
                </c:pt>
                <c:pt idx="234">
                  <c:v>184.2391872244514</c:v>
                </c:pt>
                <c:pt idx="235">
                  <c:v>185.68804214305965</c:v>
                </c:pt>
                <c:pt idx="236">
                  <c:v>187.14113936343088</c:v>
                </c:pt>
                <c:pt idx="237">
                  <c:v>188.59846038974388</c:v>
                </c:pt>
                <c:pt idx="238">
                  <c:v>190.05998671894011</c:v>
                </c:pt>
                <c:pt idx="239">
                  <c:v>191.52569984091289</c:v>
                </c:pt>
                <c:pt idx="240">
                  <c:v>192.99558123869571</c:v>
                </c:pt>
                <c:pt idx="241">
                  <c:v>194.46961238865032</c:v>
                </c:pt>
                <c:pt idx="242">
                  <c:v>195.94777476065411</c:v>
                </c:pt>
                <c:pt idx="243">
                  <c:v>197.43004981828696</c:v>
                </c:pt>
                <c:pt idx="244">
                  <c:v>198.91641901901761</c:v>
                </c:pt>
                <c:pt idx="245">
                  <c:v>200.40686381438945</c:v>
                </c:pt>
                <c:pt idx="246">
                  <c:v>201.90136565020575</c:v>
                </c:pt>
                <c:pt idx="247">
                  <c:v>203.39990596671424</c:v>
                </c:pt>
                <c:pt idx="248">
                  <c:v>204.90246619879136</c:v>
                </c:pt>
                <c:pt idx="249">
                  <c:v>206.40902777612555</c:v>
                </c:pt>
                <c:pt idx="250">
                  <c:v>207.9195721234004</c:v>
                </c:pt>
                <c:pt idx="251">
                  <c:v>209.43407905116553</c:v>
                </c:pt>
                <c:pt idx="252">
                  <c:v>210.95252514660507</c:v>
                </c:pt>
                <c:pt idx="253">
                  <c:v>212.47488538368131</c:v>
                </c:pt>
                <c:pt idx="254">
                  <c:v>214.00113473342174</c:v>
                </c:pt>
                <c:pt idx="255">
                  <c:v>215.53124816418278</c:v>
                </c:pt>
                <c:pt idx="256">
                  <c:v>217.06520064191238</c:v>
                </c:pt>
                <c:pt idx="257">
                  <c:v>218.60296713041126</c:v>
                </c:pt>
                <c:pt idx="258">
                  <c:v>220.14452259159319</c:v>
                </c:pt>
                <c:pt idx="259">
                  <c:v>221.68984198574395</c:v>
                </c:pt>
                <c:pt idx="260">
                  <c:v>223.23890027177916</c:v>
                </c:pt>
                <c:pt idx="261">
                  <c:v>224.7916724075009</c:v>
                </c:pt>
                <c:pt idx="262">
                  <c:v>226.34813334985307</c:v>
                </c:pt>
                <c:pt idx="263">
                  <c:v>227.90825805517559</c:v>
                </c:pt>
                <c:pt idx="264">
                  <c:v>229.4720214794574</c:v>
                </c:pt>
                <c:pt idx="265">
                  <c:v>231.03939857858811</c:v>
                </c:pt>
                <c:pt idx="266">
                  <c:v>232.61036430860852</c:v>
                </c:pt>
                <c:pt idx="267">
                  <c:v>234.18489362595994</c:v>
                </c:pt>
                <c:pt idx="268">
                  <c:v>235.76296148773207</c:v>
                </c:pt>
                <c:pt idx="269">
                  <c:v>237.34454285190984</c:v>
                </c:pt>
                <c:pt idx="270">
                  <c:v>238.92961267761882</c:v>
                </c:pt>
                <c:pt idx="271">
                  <c:v>240.51814592536951</c:v>
                </c:pt>
                <c:pt idx="272">
                  <c:v>242.11011755730019</c:v>
                </c:pt>
                <c:pt idx="273">
                  <c:v>243.70550253741862</c:v>
                </c:pt>
                <c:pt idx="274">
                  <c:v>245.3042758318424</c:v>
                </c:pt>
                <c:pt idx="275">
                  <c:v>246.9064124090381</c:v>
                </c:pt>
                <c:pt idx="276">
                  <c:v>248.51188724005888</c:v>
                </c:pt>
                <c:pt idx="277">
                  <c:v>250.12067529878118</c:v>
                </c:pt>
                <c:pt idx="278">
                  <c:v>251.73275156213975</c:v>
                </c:pt>
                <c:pt idx="279">
                  <c:v>253.34809101036151</c:v>
                </c:pt>
                <c:pt idx="280">
                  <c:v>254.96666862719815</c:v>
                </c:pt>
                <c:pt idx="281">
                  <c:v>256.58845940015726</c:v>
                </c:pt>
                <c:pt idx="282">
                  <c:v>258.21343832073234</c:v>
                </c:pt>
                <c:pt idx="283">
                  <c:v>259.84158038463119</c:v>
                </c:pt>
                <c:pt idx="284">
                  <c:v>261.47286059200331</c:v>
                </c:pt>
                <c:pt idx="285">
                  <c:v>263.10725394766558</c:v>
                </c:pt>
                <c:pt idx="286">
                  <c:v>264.74473546132702</c:v>
                </c:pt>
                <c:pt idx="287">
                  <c:v>266.38528014781173</c:v>
                </c:pt>
                <c:pt idx="288">
                  <c:v>268.02886302728092</c:v>
                </c:pt>
                <c:pt idx="289">
                  <c:v>269.67545912545324</c:v>
                </c:pt>
                <c:pt idx="290">
                  <c:v>271.325043473824</c:v>
                </c:pt>
                <c:pt idx="291">
                  <c:v>272.97759110988278</c:v>
                </c:pt>
                <c:pt idx="292">
                  <c:v>274.63307707732997</c:v>
                </c:pt>
                <c:pt idx="293">
                  <c:v>276.29147642629169</c:v>
                </c:pt>
                <c:pt idx="294">
                  <c:v>277.95276421353344</c:v>
                </c:pt>
                <c:pt idx="295">
                  <c:v>279.61691550267227</c:v>
                </c:pt>
                <c:pt idx="296">
                  <c:v>281.28390536438786</c:v>
                </c:pt>
                <c:pt idx="297">
                  <c:v>282.95370887663182</c:v>
                </c:pt>
                <c:pt idx="298">
                  <c:v>284.62628351581145</c:v>
                </c:pt>
                <c:pt idx="299">
                  <c:v>286.30155155276105</c:v>
                </c:pt>
                <c:pt idx="300">
                  <c:v>287.97941767922237</c:v>
                </c:pt>
                <c:pt idx="301">
                  <c:v>289.65978663032428</c:v>
                </c:pt>
                <c:pt idx="302">
                  <c:v>291.34256318635494</c:v>
                </c:pt>
                <c:pt idx="303">
                  <c:v>293.02765217451474</c:v>
                </c:pt>
                <c:pt idx="304">
                  <c:v>294.71495847065017</c:v>
                </c:pt>
                <c:pt idx="305">
                  <c:v>296.40438700096882</c:v>
                </c:pt>
                <c:pt idx="306">
                  <c:v>298.09584274373503</c:v>
                </c:pt>
                <c:pt idx="307">
                  <c:v>299.78923073094637</c:v>
                </c:pt>
                <c:pt idx="308">
                  <c:v>301.48445604999102</c:v>
                </c:pt>
                <c:pt idx="309">
                  <c:v>303.18142384528562</c:v>
                </c:pt>
                <c:pt idx="310">
                  <c:v>304.88003931989397</c:v>
                </c:pt>
                <c:pt idx="311">
                  <c:v>306.58020773712639</c:v>
                </c:pt>
                <c:pt idx="312">
                  <c:v>308.28183442211963</c:v>
                </c:pt>
                <c:pt idx="313">
                  <c:v>309.9848247633974</c:v>
                </c:pt>
                <c:pt idx="314">
                  <c:v>311.68908421441154</c:v>
                </c:pt>
                <c:pt idx="315">
                  <c:v>313.39451829506379</c:v>
                </c:pt>
                <c:pt idx="316">
                  <c:v>315.10103259320795</c:v>
                </c:pt>
                <c:pt idx="317">
                  <c:v>316.8085327661326</c:v>
                </c:pt>
                <c:pt idx="318">
                  <c:v>318.51692454202464</c:v>
                </c:pt>
                <c:pt idx="319">
                  <c:v>320.2261137214129</c:v>
                </c:pt>
                <c:pt idx="320">
                  <c:v>321.93600617859266</c:v>
                </c:pt>
                <c:pt idx="321">
                  <c:v>323.64651485678212</c:v>
                </c:pt>
                <c:pt idx="322">
                  <c:v>325.3575667580202</c:v>
                </c:pt>
                <c:pt idx="323">
                  <c:v>327.06909593880772</c:v>
                </c:pt>
                <c:pt idx="324">
                  <c:v>328.78103651063037</c:v>
                </c:pt>
                <c:pt idx="325">
                  <c:v>330.49332264061275</c:v>
                </c:pt>
                <c:pt idx="326">
                  <c:v>332.20588855216323</c:v>
                </c:pt>
                <c:pt idx="327">
                  <c:v>333.91866852560935</c:v>
                </c:pt>
                <c:pt idx="328">
                  <c:v>335.63159689882315</c:v>
                </c:pt>
                <c:pt idx="329">
                  <c:v>337.34460806783761</c:v>
                </c:pt>
                <c:pt idx="330">
                  <c:v>339.05763648745312</c:v>
                </c:pt>
                <c:pt idx="331">
                  <c:v>340.77061667183466</c:v>
                </c:pt>
                <c:pt idx="332">
                  <c:v>342.48348319509944</c:v>
                </c:pt>
                <c:pt idx="333">
                  <c:v>344.19617069189519</c:v>
                </c:pt>
                <c:pt idx="334">
                  <c:v>345.90861385796899</c:v>
                </c:pt>
                <c:pt idx="335">
                  <c:v>347.62074745072664</c:v>
                </c:pt>
                <c:pt idx="336">
                  <c:v>349.33250628978277</c:v>
                </c:pt>
                <c:pt idx="337">
                  <c:v>351.04382525750145</c:v>
                </c:pt>
                <c:pt idx="338">
                  <c:v>352.75463929952787</c:v>
                </c:pt>
                <c:pt idx="339">
                  <c:v>354.46488342531006</c:v>
                </c:pt>
                <c:pt idx="340">
                  <c:v>356.17449270861215</c:v>
                </c:pt>
                <c:pt idx="341">
                  <c:v>357.88340228801769</c:v>
                </c:pt>
                <c:pt idx="342">
                  <c:v>359.59154736742431</c:v>
                </c:pt>
                <c:pt idx="343">
                  <c:v>361.29886321652884</c:v>
                </c:pt>
                <c:pt idx="344">
                  <c:v>363.00528517130351</c:v>
                </c:pt>
                <c:pt idx="345">
                  <c:v>364.71074863446302</c:v>
                </c:pt>
                <c:pt idx="346">
                  <c:v>366.4151890759224</c:v>
                </c:pt>
                <c:pt idx="347">
                  <c:v>368.118542033246</c:v>
                </c:pt>
                <c:pt idx="348">
                  <c:v>369.8207438654083</c:v>
                </c:pt>
                <c:pt idx="349">
                  <c:v>371.52173250571508</c:v>
                </c:pt>
                <c:pt idx="350">
                  <c:v>373.22144670722844</c:v>
                </c:pt>
                <c:pt idx="351">
                  <c:v>374.91982528898967</c:v>
                </c:pt>
                <c:pt idx="352">
                  <c:v>376.61680713637691</c:v>
                </c:pt>
                <c:pt idx="353">
                  <c:v>378.31233120145504</c:v>
                </c:pt>
                <c:pt idx="354">
                  <c:v>380.00633650331719</c:v>
                </c:pt>
                <c:pt idx="355">
                  <c:v>381.69876212841882</c:v>
                </c:pt>
                <c:pt idx="356">
                  <c:v>383.38954723090364</c:v>
                </c:pt>
                <c:pt idx="357">
                  <c:v>385.07863103292175</c:v>
                </c:pt>
                <c:pt idx="358">
                  <c:v>386.76595282494003</c:v>
                </c:pt>
                <c:pt idx="359">
                  <c:v>388.45145196604477</c:v>
                </c:pt>
                <c:pt idx="360">
                  <c:v>390.13508354435527</c:v>
                </c:pt>
                <c:pt idx="361">
                  <c:v>391.81683401816588</c:v>
                </c:pt>
                <c:pt idx="362">
                  <c:v>393.49670551863704</c:v>
                </c:pt>
                <c:pt idx="363">
                  <c:v>395.17470017161696</c:v>
                </c:pt>
                <c:pt idx="364">
                  <c:v>396.85082009765847</c:v>
                </c:pt>
                <c:pt idx="365">
                  <c:v>398.52506741203592</c:v>
                </c:pt>
                <c:pt idx="366">
                  <c:v>400.19744422476191</c:v>
                </c:pt>
                <c:pt idx="367">
                  <c:v>401.86795264060396</c:v>
                </c:pt>
                <c:pt idx="368">
                  <c:v>403.53659475910115</c:v>
                </c:pt>
                <c:pt idx="369">
                  <c:v>405.20337267458075</c:v>
                </c:pt>
                <c:pt idx="370">
                  <c:v>406.86828847617465</c:v>
                </c:pt>
                <c:pt idx="371">
                  <c:v>408.53134424783576</c:v>
                </c:pt>
                <c:pt idx="372">
                  <c:v>410.19254206835433</c:v>
                </c:pt>
                <c:pt idx="373">
                  <c:v>411.85188401137435</c:v>
                </c:pt>
                <c:pt idx="374">
                  <c:v>413.50937214540983</c:v>
                </c:pt>
                <c:pt idx="375">
                  <c:v>415.16500853386066</c:v>
                </c:pt>
                <c:pt idx="376">
                  <c:v>416.81879523502903</c:v>
                </c:pt>
                <c:pt idx="377">
                  <c:v>418.47073430213533</c:v>
                </c:pt>
                <c:pt idx="378">
                  <c:v>420.12082778333405</c:v>
                </c:pt>
                <c:pt idx="379">
                  <c:v>421.76907772172979</c:v>
                </c:pt>
                <c:pt idx="380">
                  <c:v>423.41548615539301</c:v>
                </c:pt>
                <c:pt idx="381">
                  <c:v>425.0600551173759</c:v>
                </c:pt>
                <c:pt idx="382">
                  <c:v>426.70278663572799</c:v>
                </c:pt>
                <c:pt idx="383">
                  <c:v>428.3436827335118</c:v>
                </c:pt>
                <c:pt idx="384">
                  <c:v>429.98274542881853</c:v>
                </c:pt>
                <c:pt idx="385">
                  <c:v>431.61997673478351</c:v>
                </c:pt>
                <c:pt idx="386">
                  <c:v>433.2553786596016</c:v>
                </c:pt>
                <c:pt idx="387">
                  <c:v>434.88895320654268</c:v>
                </c:pt>
                <c:pt idx="388">
                  <c:v>436.52070237396691</c:v>
                </c:pt>
                <c:pt idx="389">
                  <c:v>438.15062815534009</c:v>
                </c:pt>
                <c:pt idx="390">
                  <c:v>439.77873253924878</c:v>
                </c:pt>
                <c:pt idx="391">
                  <c:v>441.40501750941553</c:v>
                </c:pt>
                <c:pt idx="392">
                  <c:v>443.02948504471397</c:v>
                </c:pt>
                <c:pt idx="393">
                  <c:v>444.65213711918369</c:v>
                </c:pt>
                <c:pt idx="394">
                  <c:v>446.27297570204541</c:v>
                </c:pt>
                <c:pt idx="395">
                  <c:v>447.89200275771583</c:v>
                </c:pt>
                <c:pt idx="396">
                  <c:v>449.50922024582241</c:v>
                </c:pt>
                <c:pt idx="397">
                  <c:v>451.12463012121822</c:v>
                </c:pt>
                <c:pt idx="398">
                  <c:v>452.73823433399667</c:v>
                </c:pt>
                <c:pt idx="399">
                  <c:v>454.35003482950623</c:v>
                </c:pt>
                <c:pt idx="400">
                  <c:v>455.96003354836495</c:v>
                </c:pt>
                <c:pt idx="401">
                  <c:v>471.96107300060953</c:v>
                </c:pt>
                <c:pt idx="402">
                  <c:v>487.78318333211666</c:v>
                </c:pt>
                <c:pt idx="403">
                  <c:v>503.42825807706595</c:v>
                </c:pt>
                <c:pt idx="404">
                  <c:v>518.89814542549937</c:v>
                </c:pt>
                <c:pt idx="405">
                  <c:v>534.19464958529625</c:v>
                </c:pt>
                <c:pt idx="406">
                  <c:v>549.31953209177277</c:v>
                </c:pt>
                <c:pt idx="407">
                  <c:v>564.27451306730495</c:v>
                </c:pt>
                <c:pt idx="408">
                  <c:v>579.06127243324454</c:v>
                </c:pt>
                <c:pt idx="409">
                  <c:v>593.68145107627743</c:v>
                </c:pt>
                <c:pt idx="410">
                  <c:v>608.13665197126136</c:v>
                </c:pt>
                <c:pt idx="411">
                  <c:v>622.42844126247451</c:v>
                </c:pt>
                <c:pt idx="412">
                  <c:v>636.558349305104</c:v>
                </c:pt>
                <c:pt idx="413">
                  <c:v>650.52787166871224</c:v>
                </c:pt>
                <c:pt idx="414">
                  <c:v>664.33847010432908</c:v>
                </c:pt>
                <c:pt idx="415">
                  <c:v>677.9915734767344</c:v>
                </c:pt>
                <c:pt idx="416">
                  <c:v>691.48857866341723</c:v>
                </c:pt>
                <c:pt idx="417">
                  <c:v>704.83085142162349</c:v>
                </c:pt>
                <c:pt idx="418">
                  <c:v>718.01972722483549</c:v>
                </c:pt>
                <c:pt idx="419">
                  <c:v>731.05651206995776</c:v>
                </c:pt>
                <c:pt idx="420">
                  <c:v>743.94248325642502</c:v>
                </c:pt>
                <c:pt idx="421">
                  <c:v>756.67889013838635</c:v>
                </c:pt>
                <c:pt idx="422">
                  <c:v>769.26695485106575</c:v>
                </c:pt>
                <c:pt idx="423">
                  <c:v>781.70787301234577</c:v>
                </c:pt>
                <c:pt idx="424">
                  <c:v>794.00281440057267</c:v>
                </c:pt>
                <c:pt idx="425">
                  <c:v>806.15292360953242</c:v>
                </c:pt>
                <c:pt idx="426">
                  <c:v>818.15932068150437</c:v>
                </c:pt>
                <c:pt idx="427">
                  <c:v>830.02310171925626</c:v>
                </c:pt>
                <c:pt idx="428">
                  <c:v>841.74533947780549</c:v>
                </c:pt>
                <c:pt idx="429">
                  <c:v>853.32708393673147</c:v>
                </c:pt>
                <c:pt idx="430">
                  <c:v>864.76936285379099</c:v>
                </c:pt>
                <c:pt idx="431">
                  <c:v>876.07318230055296</c:v>
                </c:pt>
                <c:pt idx="432">
                  <c:v>887.23952718073645</c:v>
                </c:pt>
                <c:pt idx="433">
                  <c:v>898.26936173190711</c:v>
                </c:pt>
                <c:pt idx="434">
                  <c:v>909.16363001115553</c:v>
                </c:pt>
                <c:pt idx="435">
                  <c:v>919.92325636535645</c:v>
                </c:pt>
                <c:pt idx="436">
                  <c:v>930.54914588657891</c:v>
                </c:pt>
                <c:pt idx="437">
                  <c:v>941.04218485319529</c:v>
                </c:pt>
                <c:pt idx="438">
                  <c:v>951.40324115721126</c:v>
                </c:pt>
                <c:pt idx="439">
                  <c:v>961.6331647183174</c:v>
                </c:pt>
                <c:pt idx="440">
                  <c:v>971.73278788514222</c:v>
                </c:pt>
                <c:pt idx="441">
                  <c:v>981.70292582416516</c:v>
                </c:pt>
                <c:pt idx="442">
                  <c:v>991.54437689673011</c:v>
                </c:pt>
                <c:pt idx="443">
                  <c:v>1001.2579230245801</c:v>
                </c:pt>
                <c:pt idx="444">
                  <c:v>1010.8443300443178</c:v>
                </c:pt>
                <c:pt idx="445">
                  <c:v>1020.3043480511785</c:v>
                </c:pt>
                <c:pt idx="446">
                  <c:v>1029.6387117324891</c:v>
                </c:pt>
                <c:pt idx="447">
                  <c:v>1038.8481406911674</c:v>
                </c:pt>
                <c:pt idx="448">
                  <c:v>1047.9333397596049</c:v>
                </c:pt>
                <c:pt idx="449">
                  <c:v>1056.8949993042629</c:v>
                </c:pt>
                <c:pt idx="450">
                  <c:v>1065.7337955212961</c:v>
                </c:pt>
                <c:pt idx="451">
                  <c:v>1074.4503907235073</c:v>
                </c:pt>
                <c:pt idx="452">
                  <c:v>1083.0454336189248</c:v>
                </c:pt>
                <c:pt idx="453">
                  <c:v>1091.5195595812838</c:v>
                </c:pt>
                <c:pt idx="454">
                  <c:v>1099.8733909126793</c:v>
                </c:pt>
                <c:pt idx="455">
                  <c:v>1108.1075370986523</c:v>
                </c:pt>
                <c:pt idx="456">
                  <c:v>1116.2225950559571</c:v>
                </c:pt>
                <c:pt idx="457">
                  <c:v>1124.2191493732512</c:v>
                </c:pt>
                <c:pt idx="458">
                  <c:v>1132.09777254494</c:v>
                </c:pt>
                <c:pt idx="459">
                  <c:v>1139.8590251983981</c:v>
                </c:pt>
                <c:pt idx="460">
                  <c:v>1147.5034563147847</c:v>
                </c:pt>
                <c:pt idx="461">
                  <c:v>1155.0316034436596</c:v>
                </c:pt>
                <c:pt idx="462">
                  <c:v>1162.4439929116011</c:v>
                </c:pt>
                <c:pt idx="463">
                  <c:v>1169.7411400250207</c:v>
                </c:pt>
                <c:pt idx="464">
                  <c:v>1176.9235492673604</c:v>
                </c:pt>
                <c:pt idx="465">
                  <c:v>1183.9917144908559</c:v>
                </c:pt>
                <c:pt idx="466">
                  <c:v>1190.9461191030416</c:v>
                </c:pt>
                <c:pt idx="467">
                  <c:v>1197.7872362481671</c:v>
                </c:pt>
                <c:pt idx="468">
                  <c:v>1204.5155289836905</c:v>
                </c:pt>
                <c:pt idx="469">
                  <c:v>1211.1314504520108</c:v>
                </c:pt>
                <c:pt idx="470">
                  <c:v>1217.6354440475943</c:v>
                </c:pt>
                <c:pt idx="471">
                  <c:v>1224.0279435796492</c:v>
                </c:pt>
                <c:pt idx="472">
                  <c:v>1230.3093734304941</c:v>
                </c:pt>
                <c:pt idx="473">
                  <c:v>1236.4801487097689</c:v>
                </c:pt>
                <c:pt idx="474">
                  <c:v>1242.540675404628</c:v>
                </c:pt>
                <c:pt idx="475">
                  <c:v>1248.4913505260561</c:v>
                </c:pt>
                <c:pt idx="476">
                  <c:v>1254.3325622514435</c:v>
                </c:pt>
                <c:pt idx="477">
                  <c:v>1260.0646900635552</c:v>
                </c:pt>
                <c:pt idx="478">
                  <c:v>1265.6881048860278</c:v>
                </c:pt>
                <c:pt idx="479">
                  <c:v>1271.2031692155244</c:v>
                </c:pt>
                <c:pt idx="480">
                  <c:v>1276.6102372506814</c:v>
                </c:pt>
                <c:pt idx="481">
                  <c:v>1281.9096550179734</c:v>
                </c:pt>
                <c:pt idx="482">
                  <c:v>1287.1017604946292</c:v>
                </c:pt>
                <c:pt idx="483">
                  <c:v>1292.1868837287286</c:v>
                </c:pt>
                <c:pt idx="484">
                  <c:v>1297.1653469566097</c:v>
                </c:pt>
                <c:pt idx="485">
                  <c:v>1302.0374647177216</c:v>
                </c:pt>
                <c:pt idx="486">
                  <c:v>1306.8035439670537</c:v>
                </c:pt>
                <c:pt idx="487">
                  <c:v>1311.4638841852804</c:v>
                </c:pt>
                <c:pt idx="488">
                  <c:v>1316.0187774867595</c:v>
                </c:pt>
                <c:pt idx="489">
                  <c:v>1320.4685087255266</c:v>
                </c:pt>
                <c:pt idx="490">
                  <c:v>1324.8133555994336</c:v>
                </c:pt>
                <c:pt idx="491">
                  <c:v>1329.0535887525841</c:v>
                </c:pt>
                <c:pt idx="492">
                  <c:v>1333.1894718762205</c:v>
                </c:pt>
                <c:pt idx="493">
                  <c:v>1337.221261808231</c:v>
                </c:pt>
                <c:pt idx="494">
                  <c:v>1341.1492086314452</c:v>
                </c:pt>
                <c:pt idx="495">
                  <c:v>1344.9735557709007</c:v>
                </c:pt>
                <c:pt idx="496">
                  <c:v>1348.6945400902691</c:v>
                </c:pt>
                <c:pt idx="497">
                  <c:v>1352.3123919876414</c:v>
                </c:pt>
                <c:pt idx="498">
                  <c:v>1355.8273354908845</c:v>
                </c:pt>
                <c:pt idx="499">
                  <c:v>1359.2395883527934</c:v>
                </c:pt>
                <c:pt idx="500">
                  <c:v>1362.5493621462758</c:v>
                </c:pt>
                <c:pt idx="501">
                  <c:v>1365.7568623598231</c:v>
                </c:pt>
                <c:pt idx="502">
                  <c:v>1368.8622884935346</c:v>
                </c:pt>
                <c:pt idx="503">
                  <c:v>1371.8658341559844</c:v>
                </c:pt>
                <c:pt idx="504">
                  <c:v>1374.7676871622316</c:v>
                </c:pt>
                <c:pt idx="505">
                  <c:v>1377.5680296332987</c:v>
                </c:pt>
                <c:pt idx="506">
                  <c:v>1380.2670380974635</c:v>
                </c:pt>
                <c:pt idx="507">
                  <c:v>1382.8648835937252</c:v>
                </c:pt>
                <c:pt idx="508">
                  <c:v>1385.3617317778323</c:v>
                </c:pt>
                <c:pt idx="509">
                  <c:v>1387.7577430312767</c:v>
                </c:pt>
                <c:pt idx="510">
                  <c:v>1390.053072573678</c:v>
                </c:pt>
                <c:pt idx="511">
                  <c:v>1392.2478705790056</c:v>
                </c:pt>
                <c:pt idx="512">
                  <c:v>1394.3422822960968</c:v>
                </c:pt>
                <c:pt idx="513">
                  <c:v>1396.3364481739454</c:v>
                </c:pt>
                <c:pt idx="514">
                  <c:v>1398.2305039922492</c:v>
                </c:pt>
                <c:pt idx="515">
                  <c:v>1400.0245809976996</c:v>
                </c:pt>
                <c:pt idx="516">
                  <c:v>1401.7188060465073</c:v>
                </c:pt>
                <c:pt idx="517">
                  <c:v>1403.3133017536388</c:v>
                </c:pt>
                <c:pt idx="518">
                  <c:v>1404.8081866492232</c:v>
                </c:pt>
                <c:pt idx="519">
                  <c:v>1406.2035753425605</c:v>
                </c:pt>
                <c:pt idx="520">
                  <c:v>1407.4995786941179</c:v>
                </c:pt>
                <c:pt idx="521">
                  <c:v>1408.6963039958457</c:v>
                </c:pt>
                <c:pt idx="522">
                  <c:v>1409.7938551600746</c:v>
                </c:pt>
                <c:pt idx="523">
                  <c:v>1410.7923329171692</c:v>
                </c:pt>
                <c:pt idx="524">
                  <c:v>1411.6918350220117</c:v>
                </c:pt>
                <c:pt idx="525">
                  <c:v>1412.4924564692737</c:v>
                </c:pt>
                <c:pt idx="526">
                  <c:v>1413.1942897173014</c:v>
                </c:pt>
                <c:pt idx="527">
                  <c:v>1413.7974249203003</c:v>
                </c:pt>
                <c:pt idx="528">
                  <c:v>1414.3019501683527</c:v>
                </c:pt>
                <c:pt idx="529">
                  <c:v>1414.7079517346494</c:v>
                </c:pt>
                <c:pt idx="530">
                  <c:v>1415.0155143291545</c:v>
                </c:pt>
                <c:pt idx="531">
                  <c:v>1415.2247213577828</c:v>
                </c:pt>
                <c:pt idx="532">
                  <c:v>1415.3356551860206</c:v>
                </c:pt>
                <c:pt idx="533">
                  <c:v>1415.348397405807</c:v>
                </c:pt>
                <c:pt idx="534">
                  <c:v>1415.2630291043829</c:v>
                </c:pt>
                <c:pt idx="535">
                  <c:v>1415.0796311337544</c:v>
                </c:pt>
                <c:pt idx="536">
                  <c:v>1414.79828437936</c:v>
                </c:pt>
                <c:pt idx="537">
                  <c:v>1414.4190700265283</c:v>
                </c:pt>
                <c:pt idx="538">
                  <c:v>1413.9420698233337</c:v>
                </c:pt>
                <c:pt idx="539">
                  <c:v>1413.3673663385055</c:v>
                </c:pt>
                <c:pt idx="540">
                  <c:v>1412.6950432131325</c:v>
                </c:pt>
                <c:pt idx="541">
                  <c:v>1411.9251854050124</c:v>
                </c:pt>
                <c:pt idx="542">
                  <c:v>1411.0578794246198</c:v>
                </c:pt>
                <c:pt idx="543">
                  <c:v>1410.0932135618166</c:v>
                </c:pt>
                <c:pt idx="544">
                  <c:v>1409.0312781025725</c:v>
                </c:pt>
                <c:pt idx="545">
                  <c:v>1407.8721655351285</c:v>
                </c:pt>
                <c:pt idx="546">
                  <c:v>1406.6159707451848</c:v>
                </c:pt>
                <c:pt idx="547">
                  <c:v>1405.2627911998459</c:v>
                </c:pt>
                <c:pt idx="548">
                  <c:v>1403.8127271201965</c:v>
                </c:pt>
                <c:pt idx="549">
                  <c:v>1402.2658816425028</c:v>
                </c:pt>
                <c:pt idx="550">
                  <c:v>1400.6223609681524</c:v>
                </c:pt>
                <c:pt idx="551">
                  <c:v>1398.8822745025386</c:v>
                </c:pt>
                <c:pt idx="552">
                  <c:v>1397.0457349831736</c:v>
                </c:pt>
                <c:pt idx="553">
                  <c:v>1395.1128585973854</c:v>
                </c:pt>
                <c:pt idx="554">
                  <c:v>1393.0837650899975</c:v>
                </c:pt>
                <c:pt idx="555">
                  <c:v>1390.958577861433</c:v>
                </c:pt>
                <c:pt idx="556">
                  <c:v>1388.7374240567015</c:v>
                </c:pt>
                <c:pt idx="557">
                  <c:v>1386.4204346457504</c:v>
                </c:pt>
                <c:pt idx="558">
                  <c:v>1384.0077444956607</c:v>
                </c:pt>
                <c:pt idx="559">
                  <c:v>1381.4994924351638</c:v>
                </c:pt>
                <c:pt idx="560">
                  <c:v>1378.8958213119552</c:v>
                </c:pt>
                <c:pt idx="561">
                  <c:v>1376.1968780432574</c:v>
                </c:pt>
                <c:pt idx="562">
                  <c:v>1373.4028136600755</c:v>
                </c:pt>
                <c:pt idx="563">
                  <c:v>1370.5137833455644</c:v>
                </c:pt>
                <c:pt idx="564">
                  <c:v>1367.5299464679067</c:v>
                </c:pt>
                <c:pt idx="565">
                  <c:v>1364.4514666080793</c:v>
                </c:pt>
                <c:pt idx="566">
                  <c:v>1361.2785115828617</c:v>
                </c:pt>
                <c:pt idx="567">
                  <c:v>1358.0112534634175</c:v>
                </c:pt>
                <c:pt idx="568">
                  <c:v>1354.6498685897573</c:v>
                </c:pt>
                <c:pt idx="569">
                  <c:v>1351.1945375813716</c:v>
                </c:pt>
                <c:pt idx="570">
                  <c:v>1347.6454453442984</c:v>
                </c:pt>
                <c:pt idx="571">
                  <c:v>1344.0027810748716</c:v>
                </c:pt>
                <c:pt idx="572">
                  <c:v>1340.2667382603793</c:v>
                </c:pt>
                <c:pt idx="573">
                  <c:v>1336.4375146768405</c:v>
                </c:pt>
                <c:pt idx="574">
                  <c:v>1332.5153123840939</c:v>
                </c:pt>
                <c:pt idx="575">
                  <c:v>1328.5003377183778</c:v>
                </c:pt>
                <c:pt idx="576">
                  <c:v>1324.3928012825629</c:v>
                </c:pt>
                <c:pt idx="577">
                  <c:v>1320.1929179341921</c:v>
                </c:pt>
                <c:pt idx="578">
                  <c:v>1315.9009067714633</c:v>
                </c:pt>
                <c:pt idx="579">
                  <c:v>1311.5169911172827</c:v>
                </c:pt>
                <c:pt idx="580">
                  <c:v>1307.0413985015095</c:v>
                </c:pt>
                <c:pt idx="581">
                  <c:v>1302.4743606414961</c:v>
                </c:pt>
                <c:pt idx="582">
                  <c:v>1297.816113421025</c:v>
                </c:pt>
                <c:pt idx="583">
                  <c:v>1293.0668968677367</c:v>
                </c:pt>
                <c:pt idx="584">
                  <c:v>1288.226955129129</c:v>
                </c:pt>
                <c:pt idx="585">
                  <c:v>1283.2965364472102</c:v>
                </c:pt>
                <c:pt idx="586">
                  <c:v>1278.2758931318758</c:v>
                </c:pt>
                <c:pt idx="587">
                  <c:v>1273.1652815330781</c:v>
                </c:pt>
                <c:pt idx="588">
                  <c:v>1267.9649620118494</c:v>
                </c:pt>
                <c:pt idx="589">
                  <c:v>1262.6751989102379</c:v>
                </c:pt>
                <c:pt idx="590">
                  <c:v>1257.2962605202094</c:v>
                </c:pt>
                <c:pt idx="591">
                  <c:v>1251.8284190515658</c:v>
                </c:pt>
                <c:pt idx="592">
                  <c:v>1246.271950598926</c:v>
                </c:pt>
                <c:pt idx="593">
                  <c:v>1240.6271351078153</c:v>
                </c:pt>
                <c:pt idx="594">
                  <c:v>1234.8942563399028</c:v>
                </c:pt>
                <c:pt idx="595">
                  <c:v>1229.0736018374259</c:v>
                </c:pt>
                <c:pt idx="596">
                  <c:v>1223.1654628868387</c:v>
                </c:pt>
                <c:pt idx="597">
                  <c:v>1217.1701344817182</c:v>
                </c:pt>
                <c:pt idx="598">
                  <c:v>1211.0879152849611</c:v>
                </c:pt>
                <c:pt idx="599">
                  <c:v>1204.9191075903029</c:v>
                </c:pt>
                <c:pt idx="600">
                  <c:v>1198.6640172831862</c:v>
                </c:pt>
                <c:pt idx="601">
                  <c:v>1192.3229538010082</c:v>
                </c:pt>
                <c:pt idx="602">
                  <c:v>1185.896230092774</c:v>
                </c:pt>
                <c:pt idx="603">
                  <c:v>1179.3841625781783</c:v>
                </c:pt>
                <c:pt idx="604">
                  <c:v>1172.7870711061448</c:v>
                </c:pt>
                <c:pt idx="605">
                  <c:v>1166.105278912841</c:v>
                </c:pt>
                <c:pt idx="606">
                  <c:v>1159.3391125791945</c:v>
                </c:pt>
                <c:pt idx="607">
                  <c:v>1152.4889019879322</c:v>
                </c:pt>
                <c:pt idx="608">
                  <c:v>1145.5549802801609</c:v>
                </c:pt>
                <c:pt idx="609">
                  <c:v>1138.5376838115119</c:v>
                </c:pt>
                <c:pt idx="610">
                  <c:v>1131.4373521078687</c:v>
                </c:pt>
                <c:pt idx="611">
                  <c:v>1124.2543278206954</c:v>
                </c:pt>
                <c:pt idx="612">
                  <c:v>1116.988956681985</c:v>
                </c:pt>
                <c:pt idx="613">
                  <c:v>1109.6415874588467</c:v>
                </c:pt>
                <c:pt idx="614">
                  <c:v>1102.2125719077476</c:v>
                </c:pt>
                <c:pt idx="615">
                  <c:v>1094.7022647284271</c:v>
                </c:pt>
                <c:pt idx="616">
                  <c:v>1087.1110235174997</c:v>
                </c:pt>
                <c:pt idx="617">
                  <c:v>1079.439208721765</c:v>
                </c:pt>
                <c:pt idx="618">
                  <c:v>1071.6871835912366</c:v>
                </c:pt>
                <c:pt idx="619">
                  <c:v>1063.8553141319092</c:v>
                </c:pt>
                <c:pt idx="620">
                  <c:v>1055.9439690582776</c:v>
                </c:pt>
                <c:pt idx="621">
                  <c:v>1047.9535197456235</c:v>
                </c:pt>
                <c:pt idx="622">
                  <c:v>1039.8843401820825</c:v>
                </c:pt>
                <c:pt idx="623">
                  <c:v>1031.7368069205102</c:v>
                </c:pt>
                <c:pt idx="624">
                  <c:v>1023.5112990301571</c:v>
                </c:pt>
                <c:pt idx="625">
                  <c:v>1015.2081980481699</c:v>
                </c:pt>
                <c:pt idx="626">
                  <c:v>1006.8278879309302</c:v>
                </c:pt>
                <c:pt idx="627">
                  <c:v>998.37075500524679</c:v>
                </c:pt>
                <c:pt idx="628">
                  <c:v>989.83718791941396</c:v>
                </c:pt>
                <c:pt idx="629">
                  <c:v>981.22757759414822</c:v>
                </c:pt>
                <c:pt idx="630">
                  <c:v>972.54231717341816</c:v>
                </c:pt>
                <c:pt idx="631">
                  <c:v>963.78180197517929</c:v>
                </c:pt>
                <c:pt idx="632">
                  <c:v>954.94642944202712</c:v>
                </c:pt>
                <c:pt idx="633">
                  <c:v>946.03659909178134</c:v>
                </c:pt>
                <c:pt idx="634">
                  <c:v>937.05271246801237</c:v>
                </c:pt>
                <c:pt idx="635">
                  <c:v>927.99517309052442</c:v>
                </c:pt>
                <c:pt idx="636">
                  <c:v>918.86438640580525</c:v>
                </c:pt>
                <c:pt idx="637">
                  <c:v>909.66075973745649</c:v>
                </c:pt>
                <c:pt idx="638">
                  <c:v>900.38470223661477</c:v>
                </c:pt>
                <c:pt idx="639">
                  <c:v>891.03662483237679</c:v>
                </c:pt>
                <c:pt idx="640">
                  <c:v>881.61694018223841</c:v>
                </c:pt>
                <c:pt idx="641">
                  <c:v>872.12606262256077</c:v>
                </c:pt>
                <c:pt idx="642">
                  <c:v>862.56440811907339</c:v>
                </c:pt>
                <c:pt idx="643">
                  <c:v>852.93239421742624</c:v>
                </c:pt>
                <c:pt idx="644">
                  <c:v>843.23043999380116</c:v>
                </c:pt>
                <c:pt idx="645">
                  <c:v>833.45896600559445</c:v>
                </c:pt>
                <c:pt idx="646">
                  <c:v>823.61839424217999</c:v>
                </c:pt>
                <c:pt idx="647">
                  <c:v>813.70914807576469</c:v>
                </c:pt>
                <c:pt idx="648">
                  <c:v>803.73165221234592</c:v>
                </c:pt>
                <c:pt idx="649">
                  <c:v>793.68633264278196</c:v>
                </c:pt>
                <c:pt idx="650">
                  <c:v>783.57361659398464</c:v>
                </c:pt>
                <c:pt idx="651">
                  <c:v>773.39393248024521</c:v>
                </c:pt>
                <c:pt idx="652">
                  <c:v>763.14770985470261</c:v>
                </c:pt>
                <c:pt idx="653">
                  <c:v>752.83537936096423</c:v>
                </c:pt>
                <c:pt idx="654">
                  <c:v>742.45737268488847</c:v>
                </c:pt>
                <c:pt idx="655">
                  <c:v>732.01412250653902</c:v>
                </c:pt>
                <c:pt idx="656">
                  <c:v>721.50606245231938</c:v>
                </c:pt>
                <c:pt idx="657">
                  <c:v>710.9336270472977</c:v>
                </c:pt>
                <c:pt idx="658">
                  <c:v>700.29725166773028</c:v>
                </c:pt>
                <c:pt idx="659">
                  <c:v>689.59737249379248</c:v>
                </c:pt>
                <c:pt idx="660">
                  <c:v>678.83442646252684</c:v>
                </c:pt>
                <c:pt idx="661">
                  <c:v>668.00885122101545</c:v>
                </c:pt>
                <c:pt idx="662">
                  <c:v>657.12108507978587</c:v>
                </c:pt>
                <c:pt idx="663">
                  <c:v>646.17156696645918</c:v>
                </c:pt>
                <c:pt idx="664">
                  <c:v>635.16073637964701</c:v>
                </c:pt>
                <c:pt idx="665">
                  <c:v>624.08903334310719</c:v>
                </c:pt>
                <c:pt idx="666">
                  <c:v>612.95689836016402</c:v>
                </c:pt>
                <c:pt idx="667">
                  <c:v>601.7647723684023</c:v>
                </c:pt>
                <c:pt idx="668">
                  <c:v>590.51309669464183</c:v>
                </c:pt>
                <c:pt idx="669">
                  <c:v>579.20231301019999</c:v>
                </c:pt>
                <c:pt idx="670">
                  <c:v>567.83286328644908</c:v>
                </c:pt>
                <c:pt idx="671">
                  <c:v>556.40518975067675</c:v>
                </c:pt>
                <c:pt idx="672">
                  <c:v>544.91973484225434</c:v>
                </c:pt>
                <c:pt idx="673">
                  <c:v>533.37694116912189</c:v>
                </c:pt>
                <c:pt idx="674">
                  <c:v>521.777251464595</c:v>
                </c:pt>
                <c:pt idx="675">
                  <c:v>510.12110854450066</c:v>
                </c:pt>
                <c:pt idx="676">
                  <c:v>498.40895526464777</c:v>
                </c:pt>
                <c:pt idx="677">
                  <c:v>486.64123447863886</c:v>
                </c:pt>
                <c:pt idx="678">
                  <c:v>474.81838899602866</c:v>
                </c:pt>
                <c:pt idx="679">
                  <c:v>462.94086154083533</c:v>
                </c:pt>
                <c:pt idx="680">
                  <c:v>451.00909471041007</c:v>
                </c:pt>
                <c:pt idx="681">
                  <c:v>439.0235309346703</c:v>
                </c:pt>
                <c:pt idx="682">
                  <c:v>426.98461243570188</c:v>
                </c:pt>
                <c:pt idx="683">
                  <c:v>414.89278118773547</c:v>
                </c:pt>
                <c:pt idx="684">
                  <c:v>402.74847887750173</c:v>
                </c:pt>
                <c:pt idx="685">
                  <c:v>390.55214686497084</c:v>
                </c:pt>
                <c:pt idx="686">
                  <c:v>378.30422614447986</c:v>
                </c:pt>
                <c:pt idx="687">
                  <c:v>366.00515730625358</c:v>
                </c:pt>
                <c:pt idx="688">
                  <c:v>353.65538049832236</c:v>
                </c:pt>
                <c:pt idx="689">
                  <c:v>341.25533538884144</c:v>
                </c:pt>
                <c:pt idx="690">
                  <c:v>328.80546112881586</c:v>
                </c:pt>
                <c:pt idx="691">
                  <c:v>316.30619631523427</c:v>
                </c:pt>
                <c:pt idx="692">
                  <c:v>303.75797895461619</c:v>
                </c:pt>
                <c:pt idx="693">
                  <c:v>291.16124642697525</c:v>
                </c:pt>
                <c:pt idx="694">
                  <c:v>278.51643545020278</c:v>
                </c:pt>
                <c:pt idx="695">
                  <c:v>265.82398204487407</c:v>
                </c:pt>
                <c:pt idx="696">
                  <c:v>253.08432149948104</c:v>
                </c:pt>
                <c:pt idx="697">
                  <c:v>240.29788833609382</c:v>
                </c:pt>
                <c:pt idx="698">
                  <c:v>227.46511627645418</c:v>
                </c:pt>
                <c:pt idx="699">
                  <c:v>214.58643820850341</c:v>
                </c:pt>
                <c:pt idx="700">
                  <c:v>201.662286153347</c:v>
                </c:pt>
                <c:pt idx="701">
                  <c:v>188.69309123265856</c:v>
                </c:pt>
                <c:pt idx="702">
                  <c:v>175.67928363652499</c:v>
                </c:pt>
                <c:pt idx="703">
                  <c:v>162.62129259173506</c:v>
                </c:pt>
                <c:pt idx="704">
                  <c:v>149.51954633051318</c:v>
                </c:pt>
                <c:pt idx="705">
                  <c:v>136.37447205970003</c:v>
                </c:pt>
                <c:pt idx="706">
                  <c:v>123.18649593038171</c:v>
                </c:pt>
                <c:pt idx="707">
                  <c:v>109.9560430079688</c:v>
                </c:pt>
                <c:pt idx="708">
                  <c:v>96.683537242726644</c:v>
                </c:pt>
                <c:pt idx="709">
                  <c:v>83.369401440757926</c:v>
                </c:pt>
                <c:pt idx="710">
                  <c:v>70.014057235438656</c:v>
                </c:pt>
                <c:pt idx="711">
                  <c:v>56.617925059308376</c:v>
                </c:pt>
                <c:pt idx="712">
                  <c:v>43.181424116415315</c:v>
                </c:pt>
                <c:pt idx="713">
                  <c:v>29.704972355117114</c:v>
                </c:pt>
                <c:pt idx="714">
                  <c:v>16.18898644133759</c:v>
                </c:pt>
                <c:pt idx="715">
                  <c:v>2.6338817322798747</c:v>
                </c:pt>
                <c:pt idx="716">
                  <c:v>-10.95992774940386</c:v>
                </c:pt>
                <c:pt idx="717">
                  <c:v>-10.973540826977674</c:v>
                </c:pt>
                <c:pt idx="718">
                  <c:v>-10.987153942637404</c:v>
                </c:pt>
                <c:pt idx="719">
                  <c:v>-11.000767096382642</c:v>
                </c:pt>
                <c:pt idx="720">
                  <c:v>-11.014380288212978</c:v>
                </c:pt>
                <c:pt idx="721">
                  <c:v>-11.027993518128003</c:v>
                </c:pt>
                <c:pt idx="722">
                  <c:v>-11.041606786127307</c:v>
                </c:pt>
                <c:pt idx="723">
                  <c:v>-11.05522009221048</c:v>
                </c:pt>
                <c:pt idx="724">
                  <c:v>-11.068833436377112</c:v>
                </c:pt>
                <c:pt idx="725">
                  <c:v>-11.082446818626796</c:v>
                </c:pt>
                <c:pt idx="726">
                  <c:v>-11.096060238959121</c:v>
                </c:pt>
                <c:pt idx="727">
                  <c:v>-11.109673697373676</c:v>
                </c:pt>
                <c:pt idx="728">
                  <c:v>-11.123287193870054</c:v>
                </c:pt>
                <c:pt idx="729">
                  <c:v>-11.136900728447845</c:v>
                </c:pt>
                <c:pt idx="730">
                  <c:v>-11.150514301106639</c:v>
                </c:pt>
                <c:pt idx="731">
                  <c:v>-11.164127911846027</c:v>
                </c:pt>
                <c:pt idx="732">
                  <c:v>-11.177741560665599</c:v>
                </c:pt>
                <c:pt idx="733">
                  <c:v>-11.191355247564946</c:v>
                </c:pt>
                <c:pt idx="734">
                  <c:v>-11.204968972543657</c:v>
                </c:pt>
                <c:pt idx="735">
                  <c:v>-11.218582735601325</c:v>
                </c:pt>
                <c:pt idx="736">
                  <c:v>-11.23219653673754</c:v>
                </c:pt>
                <c:pt idx="737">
                  <c:v>-11.245810375951891</c:v>
                </c:pt>
                <c:pt idx="738">
                  <c:v>-11.259424253243969</c:v>
                </c:pt>
                <c:pt idx="739">
                  <c:v>-11.273038168613365</c:v>
                </c:pt>
                <c:pt idx="740">
                  <c:v>-11.286652122059669</c:v>
                </c:pt>
                <c:pt idx="741">
                  <c:v>-11.300266113582474</c:v>
                </c:pt>
                <c:pt idx="742">
                  <c:v>-11.313880143181368</c:v>
                </c:pt>
                <c:pt idx="743">
                  <c:v>-11.327494210855942</c:v>
                </c:pt>
                <c:pt idx="744">
                  <c:v>-11.341108316605787</c:v>
                </c:pt>
                <c:pt idx="745">
                  <c:v>-11.354722460430493</c:v>
                </c:pt>
                <c:pt idx="746">
                  <c:v>-11.36833664232965</c:v>
                </c:pt>
                <c:pt idx="747">
                  <c:v>-11.381950862302851</c:v>
                </c:pt>
                <c:pt idx="748">
                  <c:v>-11.395565120349683</c:v>
                </c:pt>
                <c:pt idx="749">
                  <c:v>-11.40917941646974</c:v>
                </c:pt>
                <c:pt idx="750">
                  <c:v>-11.422793750662612</c:v>
                </c:pt>
                <c:pt idx="751">
                  <c:v>-11.436408122927887</c:v>
                </c:pt>
                <c:pt idx="752">
                  <c:v>-11.450022533265157</c:v>
                </c:pt>
                <c:pt idx="753">
                  <c:v>-11.463636981674012</c:v>
                </c:pt>
                <c:pt idx="754">
                  <c:v>-11.477251468154044</c:v>
                </c:pt>
                <c:pt idx="755">
                  <c:v>-11.490865992704844</c:v>
                </c:pt>
                <c:pt idx="756">
                  <c:v>-11.504480555326001</c:v>
                </c:pt>
                <c:pt idx="757">
                  <c:v>-11.518095156017106</c:v>
                </c:pt>
                <c:pt idx="758">
                  <c:v>-11.531709794777749</c:v>
                </c:pt>
                <c:pt idx="759">
                  <c:v>-11.545324471607522</c:v>
                </c:pt>
                <c:pt idx="760">
                  <c:v>-11.558939186506015</c:v>
                </c:pt>
                <c:pt idx="761">
                  <c:v>-11.572553939472817</c:v>
                </c:pt>
                <c:pt idx="762">
                  <c:v>-11.58616873050752</c:v>
                </c:pt>
                <c:pt idx="763">
                  <c:v>-11.599783559609715</c:v>
                </c:pt>
                <c:pt idx="764">
                  <c:v>-11.613398426778993</c:v>
                </c:pt>
                <c:pt idx="765">
                  <c:v>-11.627013332014942</c:v>
                </c:pt>
                <c:pt idx="766">
                  <c:v>-11.640628275317153</c:v>
                </c:pt>
                <c:pt idx="767">
                  <c:v>-11.65424325668522</c:v>
                </c:pt>
                <c:pt idx="768">
                  <c:v>-11.66785827611873</c:v>
                </c:pt>
                <c:pt idx="769">
                  <c:v>-11.681473333617276</c:v>
                </c:pt>
                <c:pt idx="770">
                  <c:v>-11.695088429180448</c:v>
                </c:pt>
                <c:pt idx="771">
                  <c:v>-11.708703562807834</c:v>
                </c:pt>
                <c:pt idx="772">
                  <c:v>-11.722318734499028</c:v>
                </c:pt>
                <c:pt idx="773">
                  <c:v>-11.735933944253619</c:v>
                </c:pt>
                <c:pt idx="774">
                  <c:v>-11.749549192071198</c:v>
                </c:pt>
                <c:pt idx="775">
                  <c:v>-11.763164477951355</c:v>
                </c:pt>
                <c:pt idx="776">
                  <c:v>-11.776779801893682</c:v>
                </c:pt>
                <c:pt idx="777">
                  <c:v>-11.790395163897767</c:v>
                </c:pt>
                <c:pt idx="778">
                  <c:v>-11.804010563963203</c:v>
                </c:pt>
                <c:pt idx="779">
                  <c:v>-11.817626002089581</c:v>
                </c:pt>
                <c:pt idx="780">
                  <c:v>-11.831241478276489</c:v>
                </c:pt>
                <c:pt idx="781">
                  <c:v>-11.844856992523519</c:v>
                </c:pt>
                <c:pt idx="782">
                  <c:v>-11.858472544830262</c:v>
                </c:pt>
                <c:pt idx="783">
                  <c:v>-11.872088135196307</c:v>
                </c:pt>
                <c:pt idx="784">
                  <c:v>-11.885703763621247</c:v>
                </c:pt>
                <c:pt idx="785">
                  <c:v>-11.899319430104672</c:v>
                </c:pt>
                <c:pt idx="786">
                  <c:v>-11.912935134646171</c:v>
                </c:pt>
                <c:pt idx="787">
                  <c:v>-11.926550877245335</c:v>
                </c:pt>
                <c:pt idx="788">
                  <c:v>-11.940166657901756</c:v>
                </c:pt>
                <c:pt idx="789">
                  <c:v>-11.953782476615023</c:v>
                </c:pt>
                <c:pt idx="790">
                  <c:v>-11.967398333384729</c:v>
                </c:pt>
                <c:pt idx="791">
                  <c:v>-11.981014228210462</c:v>
                </c:pt>
                <c:pt idx="792">
                  <c:v>-11.994630161091814</c:v>
                </c:pt>
                <c:pt idx="793">
                  <c:v>-12.008246132028376</c:v>
                </c:pt>
                <c:pt idx="794">
                  <c:v>-12.021862141019737</c:v>
                </c:pt>
                <c:pt idx="795">
                  <c:v>-12.03547818806549</c:v>
                </c:pt>
                <c:pt idx="796">
                  <c:v>-12.049094273165222</c:v>
                </c:pt>
                <c:pt idx="797">
                  <c:v>-12.062710396318527</c:v>
                </c:pt>
                <c:pt idx="798">
                  <c:v>-12.076326557524995</c:v>
                </c:pt>
                <c:pt idx="799">
                  <c:v>-12.089942756784216</c:v>
                </c:pt>
                <c:pt idx="800">
                  <c:v>-12.103558994095781</c:v>
                </c:pt>
                <c:pt idx="801">
                  <c:v>-12.117175269459279</c:v>
                </c:pt>
                <c:pt idx="802">
                  <c:v>-12.130791582874302</c:v>
                </c:pt>
                <c:pt idx="803">
                  <c:v>-12.144407934340441</c:v>
                </c:pt>
                <c:pt idx="804">
                  <c:v>-12.158024323857285</c:v>
                </c:pt>
                <c:pt idx="805">
                  <c:v>-12.171640751424427</c:v>
                </c:pt>
                <c:pt idx="806">
                  <c:v>-12.185257217041457</c:v>
                </c:pt>
                <c:pt idx="807">
                  <c:v>-12.198873720707965</c:v>
                </c:pt>
                <c:pt idx="808">
                  <c:v>-12.212490262423541</c:v>
                </c:pt>
                <c:pt idx="809">
                  <c:v>-12.226106842187777</c:v>
                </c:pt>
                <c:pt idx="810">
                  <c:v>-12.239723460000263</c:v>
                </c:pt>
                <c:pt idx="811">
                  <c:v>-12.25334011586059</c:v>
                </c:pt>
                <c:pt idx="812">
                  <c:v>-12.266956809768349</c:v>
                </c:pt>
                <c:pt idx="813">
                  <c:v>-12.280573541723129</c:v>
                </c:pt>
                <c:pt idx="814">
                  <c:v>-12.294190311724522</c:v>
                </c:pt>
                <c:pt idx="815">
                  <c:v>-12.307807119772118</c:v>
                </c:pt>
                <c:pt idx="816">
                  <c:v>-12.321423965865508</c:v>
                </c:pt>
                <c:pt idx="817">
                  <c:v>-12.335040850004281</c:v>
                </c:pt>
                <c:pt idx="818">
                  <c:v>-12.34865777218803</c:v>
                </c:pt>
                <c:pt idx="819">
                  <c:v>-12.362274732416346</c:v>
                </c:pt>
                <c:pt idx="820">
                  <c:v>-12.375891730688817</c:v>
                </c:pt>
                <c:pt idx="821">
                  <c:v>-12.389508767005037</c:v>
                </c:pt>
                <c:pt idx="822">
                  <c:v>-12.403125841364593</c:v>
                </c:pt>
                <c:pt idx="823">
                  <c:v>-12.416742953767079</c:v>
                </c:pt>
                <c:pt idx="824">
                  <c:v>-12.430360104212083</c:v>
                </c:pt>
                <c:pt idx="825">
                  <c:v>-12.443977292699197</c:v>
                </c:pt>
                <c:pt idx="826">
                  <c:v>-12.457594519228012</c:v>
                </c:pt>
                <c:pt idx="827">
                  <c:v>-12.471211783798118</c:v>
                </c:pt>
                <c:pt idx="828">
                  <c:v>-12.484829086409105</c:v>
                </c:pt>
                <c:pt idx="829">
                  <c:v>-12.498446427060564</c:v>
                </c:pt>
                <c:pt idx="830">
                  <c:v>-12.512063805752087</c:v>
                </c:pt>
                <c:pt idx="831">
                  <c:v>-12.525681222483264</c:v>
                </c:pt>
                <c:pt idx="832">
                  <c:v>-12.539298677253685</c:v>
                </c:pt>
                <c:pt idx="833">
                  <c:v>-12.552916170062941</c:v>
                </c:pt>
                <c:pt idx="834">
                  <c:v>-12.566533700910623</c:v>
                </c:pt>
                <c:pt idx="835">
                  <c:v>-12.580151269796323</c:v>
                </c:pt>
                <c:pt idx="836">
                  <c:v>-12.593768876719629</c:v>
                </c:pt>
                <c:pt idx="837">
                  <c:v>-12.607386521680134</c:v>
                </c:pt>
                <c:pt idx="838">
                  <c:v>-12.621004204677426</c:v>
                </c:pt>
                <c:pt idx="839">
                  <c:v>-12.634621925711098</c:v>
                </c:pt>
                <c:pt idx="840">
                  <c:v>-12.648239684780739</c:v>
                </c:pt>
                <c:pt idx="841">
                  <c:v>-12.66185748188594</c:v>
                </c:pt>
                <c:pt idx="842">
                  <c:v>-12.675475317026294</c:v>
                </c:pt>
                <c:pt idx="843">
                  <c:v>-12.689093190201389</c:v>
                </c:pt>
                <c:pt idx="844">
                  <c:v>-12.702711101410816</c:v>
                </c:pt>
                <c:pt idx="845">
                  <c:v>-12.716329050654167</c:v>
                </c:pt>
                <c:pt idx="846">
                  <c:v>-12.729947037931032</c:v>
                </c:pt>
                <c:pt idx="847">
                  <c:v>-12.743565063241002</c:v>
                </c:pt>
                <c:pt idx="848">
                  <c:v>-12.757183126583667</c:v>
                </c:pt>
                <c:pt idx="849">
                  <c:v>-12.77080122795862</c:v>
                </c:pt>
                <c:pt idx="850">
                  <c:v>-12.784419367365448</c:v>
                </c:pt>
                <c:pt idx="851">
                  <c:v>-12.798037544803744</c:v>
                </c:pt>
                <c:pt idx="852">
                  <c:v>-12.811655760273098</c:v>
                </c:pt>
                <c:pt idx="853">
                  <c:v>-12.8252740137731</c:v>
                </c:pt>
                <c:pt idx="854">
                  <c:v>-12.838892305303343</c:v>
                </c:pt>
                <c:pt idx="855">
                  <c:v>-12.852510634863416</c:v>
                </c:pt>
                <c:pt idx="856">
                  <c:v>-12.86612900245291</c:v>
                </c:pt>
                <c:pt idx="857">
                  <c:v>-12.879747408071415</c:v>
                </c:pt>
                <c:pt idx="858">
                  <c:v>-12.893365851718523</c:v>
                </c:pt>
                <c:pt idx="859">
                  <c:v>-12.906984333393824</c:v>
                </c:pt>
                <c:pt idx="860">
                  <c:v>-12.920602853096909</c:v>
                </c:pt>
                <c:pt idx="861">
                  <c:v>-12.934221410827368</c:v>
                </c:pt>
                <c:pt idx="862">
                  <c:v>-12.947840006584793</c:v>
                </c:pt>
                <c:pt idx="863">
                  <c:v>-12.961458640368773</c:v>
                </c:pt>
                <c:pt idx="864">
                  <c:v>-12.9750773121789</c:v>
                </c:pt>
                <c:pt idx="865">
                  <c:v>-12.988696022014764</c:v>
                </c:pt>
                <c:pt idx="866">
                  <c:v>-13.002314769875957</c:v>
                </c:pt>
                <c:pt idx="867">
                  <c:v>-13.015933555762068</c:v>
                </c:pt>
                <c:pt idx="868">
                  <c:v>-13.029552379672689</c:v>
                </c:pt>
                <c:pt idx="869">
                  <c:v>-13.043171241607411</c:v>
                </c:pt>
                <c:pt idx="870">
                  <c:v>-13.056790141565823</c:v>
                </c:pt>
                <c:pt idx="871">
                  <c:v>-13.070409079547517</c:v>
                </c:pt>
                <c:pt idx="872">
                  <c:v>-13.084028055552084</c:v>
                </c:pt>
                <c:pt idx="873">
                  <c:v>-13.097647069579114</c:v>
                </c:pt>
                <c:pt idx="874">
                  <c:v>-13.111266121628198</c:v>
                </c:pt>
                <c:pt idx="875">
                  <c:v>-13.124885211698926</c:v>
                </c:pt>
                <c:pt idx="876">
                  <c:v>-13.13850433979089</c:v>
                </c:pt>
                <c:pt idx="877">
                  <c:v>-13.152123505903679</c:v>
                </c:pt>
                <c:pt idx="878">
                  <c:v>-13.165742710036886</c:v>
                </c:pt>
                <c:pt idx="879">
                  <c:v>-13.179361952190101</c:v>
                </c:pt>
                <c:pt idx="880">
                  <c:v>-13.192981232362914</c:v>
                </c:pt>
                <c:pt idx="881">
                  <c:v>-13.206600550554915</c:v>
                </c:pt>
                <c:pt idx="882">
                  <c:v>-13.220219906765697</c:v>
                </c:pt>
                <c:pt idx="883">
                  <c:v>-13.23383930099485</c:v>
                </c:pt>
                <c:pt idx="884">
                  <c:v>-13.247458733241963</c:v>
                </c:pt>
                <c:pt idx="885">
                  <c:v>-13.261078203506628</c:v>
                </c:pt>
                <c:pt idx="886">
                  <c:v>-13.274697711788436</c:v>
                </c:pt>
                <c:pt idx="887">
                  <c:v>-13.288317258086977</c:v>
                </c:pt>
                <c:pt idx="888">
                  <c:v>-13.301936842401842</c:v>
                </c:pt>
                <c:pt idx="889">
                  <c:v>-13.315556464732623</c:v>
                </c:pt>
                <c:pt idx="890">
                  <c:v>-13.329176125078909</c:v>
                </c:pt>
                <c:pt idx="891">
                  <c:v>-13.342795823440293</c:v>
                </c:pt>
                <c:pt idx="892">
                  <c:v>-13.356415559816364</c:v>
                </c:pt>
                <c:pt idx="893">
                  <c:v>-13.370035334206714</c:v>
                </c:pt>
                <c:pt idx="894">
                  <c:v>-13.383655146610931</c:v>
                </c:pt>
                <c:pt idx="895">
                  <c:v>-13.397274997028608</c:v>
                </c:pt>
                <c:pt idx="896">
                  <c:v>-13.410894885459335</c:v>
                </c:pt>
                <c:pt idx="897">
                  <c:v>-13.424514811902704</c:v>
                </c:pt>
                <c:pt idx="898">
                  <c:v>-13.438134776358304</c:v>
                </c:pt>
                <c:pt idx="899">
                  <c:v>-13.451754778825727</c:v>
                </c:pt>
                <c:pt idx="900">
                  <c:v>-13.465374819304563</c:v>
                </c:pt>
                <c:pt idx="901">
                  <c:v>-13.478994897794403</c:v>
                </c:pt>
                <c:pt idx="902">
                  <c:v>-13.492615014294838</c:v>
                </c:pt>
                <c:pt idx="903">
                  <c:v>-13.506235168805459</c:v>
                </c:pt>
                <c:pt idx="904">
                  <c:v>-13.519855361325856</c:v>
                </c:pt>
                <c:pt idx="905">
                  <c:v>-13.533475591855622</c:v>
                </c:pt>
                <c:pt idx="906">
                  <c:v>-13.547095860394345</c:v>
                </c:pt>
                <c:pt idx="907">
                  <c:v>-13.560716166941617</c:v>
                </c:pt>
                <c:pt idx="908">
                  <c:v>-13.574336511497028</c:v>
                </c:pt>
                <c:pt idx="909">
                  <c:v>-13.58795689406017</c:v>
                </c:pt>
                <c:pt idx="910">
                  <c:v>-13.601577314630633</c:v>
                </c:pt>
                <c:pt idx="911">
                  <c:v>-13.615197773208008</c:v>
                </c:pt>
                <c:pt idx="912">
                  <c:v>-13.628818269791886</c:v>
                </c:pt>
                <c:pt idx="913">
                  <c:v>-13.642438804381856</c:v>
                </c:pt>
                <c:pt idx="914">
                  <c:v>-13.656059376977511</c:v>
                </c:pt>
                <c:pt idx="915">
                  <c:v>-13.669679987578441</c:v>
                </c:pt>
                <c:pt idx="916">
                  <c:v>-13.683300636184237</c:v>
                </c:pt>
                <c:pt idx="917">
                  <c:v>-13.696921322794489</c:v>
                </c:pt>
                <c:pt idx="918">
                  <c:v>-13.71054204740879</c:v>
                </c:pt>
                <c:pt idx="919">
                  <c:v>-13.724162810026728</c:v>
                </c:pt>
                <c:pt idx="920">
                  <c:v>-13.737783610647895</c:v>
                </c:pt>
                <c:pt idx="921">
                  <c:v>-13.751404449271883</c:v>
                </c:pt>
                <c:pt idx="922">
                  <c:v>-13.76502532589828</c:v>
                </c:pt>
                <c:pt idx="923">
                  <c:v>-13.77864624052668</c:v>
                </c:pt>
                <c:pt idx="924">
                  <c:v>-13.79226719315667</c:v>
                </c:pt>
                <c:pt idx="925">
                  <c:v>-13.805888183787845</c:v>
                </c:pt>
                <c:pt idx="926">
                  <c:v>-13.819509212419794</c:v>
                </c:pt>
                <c:pt idx="927">
                  <c:v>-13.833130279052106</c:v>
                </c:pt>
                <c:pt idx="928">
                  <c:v>-13.846751383684374</c:v>
                </c:pt>
                <c:pt idx="929">
                  <c:v>-13.860372526316189</c:v>
                </c:pt>
                <c:pt idx="930">
                  <c:v>-13.87399370694714</c:v>
                </c:pt>
                <c:pt idx="931">
                  <c:v>-13.887614925576818</c:v>
                </c:pt>
                <c:pt idx="932">
                  <c:v>-13.901236182204816</c:v>
                </c:pt>
                <c:pt idx="933">
                  <c:v>-13.914857476830722</c:v>
                </c:pt>
                <c:pt idx="934">
                  <c:v>-13.928478809454129</c:v>
                </c:pt>
                <c:pt idx="935">
                  <c:v>-13.942100180074627</c:v>
                </c:pt>
                <c:pt idx="936">
                  <c:v>-13.955721588691807</c:v>
                </c:pt>
                <c:pt idx="937">
                  <c:v>-13.969343035305259</c:v>
                </c:pt>
                <c:pt idx="938">
                  <c:v>-13.982964519914576</c:v>
                </c:pt>
                <c:pt idx="939">
                  <c:v>-13.996586042519347</c:v>
                </c:pt>
                <c:pt idx="940">
                  <c:v>-14.010207603119163</c:v>
                </c:pt>
                <c:pt idx="941">
                  <c:v>-14.023829201713616</c:v>
                </c:pt>
                <c:pt idx="942">
                  <c:v>-14.037450838302295</c:v>
                </c:pt>
                <c:pt idx="943">
                  <c:v>-14.051072512884792</c:v>
                </c:pt>
                <c:pt idx="944">
                  <c:v>-14.064694225460697</c:v>
                </c:pt>
                <c:pt idx="945">
                  <c:v>-14.078315976029602</c:v>
                </c:pt>
                <c:pt idx="946">
                  <c:v>-14.091937764591096</c:v>
                </c:pt>
                <c:pt idx="947">
                  <c:v>-14.105559591144772</c:v>
                </c:pt>
                <c:pt idx="948">
                  <c:v>-14.119181455690219</c:v>
                </c:pt>
                <c:pt idx="949">
                  <c:v>-14.132803358227029</c:v>
                </c:pt>
                <c:pt idx="950">
                  <c:v>-14.146425298754792</c:v>
                </c:pt>
                <c:pt idx="951">
                  <c:v>-14.160047277273101</c:v>
                </c:pt>
                <c:pt idx="952">
                  <c:v>-14.173669293781543</c:v>
                </c:pt>
                <c:pt idx="953">
                  <c:v>-14.187291348279713</c:v>
                </c:pt>
                <c:pt idx="954">
                  <c:v>-14.200913440767199</c:v>
                </c:pt>
                <c:pt idx="955">
                  <c:v>-14.214535571243593</c:v>
                </c:pt>
                <c:pt idx="956">
                  <c:v>-14.228157739708484</c:v>
                </c:pt>
                <c:pt idx="957">
                  <c:v>-14.241779946161465</c:v>
                </c:pt>
                <c:pt idx="958">
                  <c:v>-14.255402190602126</c:v>
                </c:pt>
                <c:pt idx="959">
                  <c:v>-14.269024473030059</c:v>
                </c:pt>
                <c:pt idx="960">
                  <c:v>-14.282646793444854</c:v>
                </c:pt>
                <c:pt idx="961">
                  <c:v>-14.296269151846102</c:v>
                </c:pt>
                <c:pt idx="962">
                  <c:v>-14.309891548233393</c:v>
                </c:pt>
                <c:pt idx="963">
                  <c:v>-14.323513982606318</c:v>
                </c:pt>
                <c:pt idx="964">
                  <c:v>-14.337136454964469</c:v>
                </c:pt>
                <c:pt idx="965">
                  <c:v>-14.350758965307437</c:v>
                </c:pt>
                <c:pt idx="966">
                  <c:v>-14.364381513634811</c:v>
                </c:pt>
                <c:pt idx="967">
                  <c:v>-14.378004099946184</c:v>
                </c:pt>
                <c:pt idx="968">
                  <c:v>-14.391626724241144</c:v>
                </c:pt>
                <c:pt idx="969">
                  <c:v>-14.405249386519284</c:v>
                </c:pt>
                <c:pt idx="970">
                  <c:v>-14.418872086780194</c:v>
                </c:pt>
                <c:pt idx="971">
                  <c:v>-14.432494825023467</c:v>
                </c:pt>
                <c:pt idx="972">
                  <c:v>-14.446117601248691</c:v>
                </c:pt>
                <c:pt idx="973">
                  <c:v>-14.459740415455459</c:v>
                </c:pt>
                <c:pt idx="974">
                  <c:v>-14.473363267643361</c:v>
                </c:pt>
                <c:pt idx="975">
                  <c:v>-14.486986157811987</c:v>
                </c:pt>
                <c:pt idx="976">
                  <c:v>-14.50060908596093</c:v>
                </c:pt>
                <c:pt idx="977">
                  <c:v>-14.514232052089778</c:v>
                </c:pt>
                <c:pt idx="978">
                  <c:v>-14.527855056198124</c:v>
                </c:pt>
                <c:pt idx="979">
                  <c:v>-14.541478098285559</c:v>
                </c:pt>
                <c:pt idx="980">
                  <c:v>-14.555101178351673</c:v>
                </c:pt>
                <c:pt idx="981">
                  <c:v>-14.568724296396057</c:v>
                </c:pt>
                <c:pt idx="982">
                  <c:v>-14.582347452418302</c:v>
                </c:pt>
                <c:pt idx="983">
                  <c:v>-14.595970646417999</c:v>
                </c:pt>
                <c:pt idx="984">
                  <c:v>-14.609593878394739</c:v>
                </c:pt>
                <c:pt idx="985">
                  <c:v>-14.623217148348111</c:v>
                </c:pt>
                <c:pt idx="986">
                  <c:v>-14.636840456277708</c:v>
                </c:pt>
                <c:pt idx="987">
                  <c:v>-14.650463802183122</c:v>
                </c:pt>
                <c:pt idx="988">
                  <c:v>-14.664087186063941</c:v>
                </c:pt>
                <c:pt idx="989">
                  <c:v>-14.677710607919758</c:v>
                </c:pt>
                <c:pt idx="990">
                  <c:v>-14.691334067750162</c:v>
                </c:pt>
                <c:pt idx="991">
                  <c:v>-14.704957565554746</c:v>
                </c:pt>
                <c:pt idx="992">
                  <c:v>-14.7185811013331</c:v>
                </c:pt>
                <c:pt idx="993">
                  <c:v>-14.732204675084814</c:v>
                </c:pt>
                <c:pt idx="994">
                  <c:v>-14.745828286809481</c:v>
                </c:pt>
                <c:pt idx="995">
                  <c:v>-14.759451936506689</c:v>
                </c:pt>
                <c:pt idx="996">
                  <c:v>-14.77307562417603</c:v>
                </c:pt>
                <c:pt idx="997">
                  <c:v>-14.786699349817097</c:v>
                </c:pt>
                <c:pt idx="998">
                  <c:v>-14.800323113429478</c:v>
                </c:pt>
                <c:pt idx="999">
                  <c:v>-14.813946915012766</c:v>
                </c:pt>
                <c:pt idx="1000">
                  <c:v>-14.827570754566549</c:v>
                </c:pt>
              </c:numCache>
            </c:numRef>
          </c:yVal>
          <c:smooth val="1"/>
          <c:extLst>
            <c:ext xmlns:c16="http://schemas.microsoft.com/office/drawing/2014/chart" uri="{C3380CC4-5D6E-409C-BE32-E72D297353CC}">
              <c16:uniqueId val="{00000001-2EC3-45DE-9EED-17088B7968F0}"/>
            </c:ext>
          </c:extLst>
        </c:ser>
        <c:ser>
          <c:idx val="2"/>
          <c:order val="2"/>
          <c:tx>
            <c:strRef>
              <c:f>Trajecto!$B$107</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0</c:v>
                </c:pt>
                <c:pt idx="1">
                  <c:v>0</c:v>
                </c:pt>
                <c:pt idx="2">
                  <c:v>1.5631936909883714E-4</c:v>
                </c:pt>
                <c:pt idx="3">
                  <c:v>7.8550326380374459E-4</c:v>
                </c:pt>
                <c:pt idx="4">
                  <c:v>2.2081288032777301E-3</c:v>
                </c:pt>
                <c:pt idx="5">
                  <c:v>4.7450678833001539E-3</c:v>
                </c:pt>
                <c:pt idx="6">
                  <c:v>8.6364034645991135E-3</c:v>
                </c:pt>
                <c:pt idx="7">
                  <c:v>1.3960162340363059E-2</c:v>
                </c:pt>
                <c:pt idx="8">
                  <c:v>2.071326764051111E-2</c:v>
                </c:pt>
                <c:pt idx="9">
                  <c:v>2.8892631188099566E-2</c:v>
                </c:pt>
                <c:pt idx="10">
                  <c:v>3.8495153537948537E-2</c:v>
                </c:pt>
                <c:pt idx="11">
                  <c:v>4.9517724015563327E-2</c:v>
                </c:pt>
                <c:pt idx="12">
                  <c:v>6.1957220756348269E-2</c:v>
                </c:pt>
                <c:pt idx="13">
                  <c:v>7.5810510745110721E-2</c:v>
                </c:pt>
                <c:pt idx="14">
                  <c:v>9.1074449855852765E-2</c:v>
                </c:pt>
                <c:pt idx="15">
                  <c:v>0.10774588289184846</c:v>
                </c:pt>
                <c:pt idx="16">
                  <c:v>0.12582164362600401</c:v>
                </c:pt>
                <c:pt idx="17">
                  <c:v>0.14529855484149876</c:v>
                </c:pt>
                <c:pt idx="18">
                  <c:v>0.16617342837270424</c:v>
                </c:pt>
                <c:pt idx="19">
                  <c:v>0.18844306514637918</c:v>
                </c:pt>
                <c:pt idx="20">
                  <c:v>0.21210425522313792</c:v>
                </c:pt>
                <c:pt idx="21">
                  <c:v>0.23715377783918953</c:v>
                </c:pt>
                <c:pt idx="22">
                  <c:v>0.26358840144834567</c:v>
                </c:pt>
                <c:pt idx="23">
                  <c:v>0.29140488376429419</c:v>
                </c:pt>
                <c:pt idx="24">
                  <c:v>0.32059997180313626</c:v>
                </c:pt>
                <c:pt idx="25">
                  <c:v>0.35117040192618432</c:v>
                </c:pt>
                <c:pt idx="26">
                  <c:v>0.38311289988301866</c:v>
                </c:pt>
                <c:pt idx="27">
                  <c:v>0.41642418085479949</c:v>
                </c:pt>
                <c:pt idx="28">
                  <c:v>0.45110094949783253</c:v>
                </c:pt>
                <c:pt idx="29">
                  <c:v>0.48713989998738527</c:v>
                </c:pt>
                <c:pt idx="30">
                  <c:v>0.52453771606175126</c:v>
                </c:pt>
                <c:pt idx="31">
                  <c:v>0.56329107106655985</c:v>
                </c:pt>
                <c:pt idx="32">
                  <c:v>0.60339662799932881</c:v>
                </c:pt>
                <c:pt idx="33">
                  <c:v>0.64485103955425727</c:v>
                </c:pt>
                <c:pt idx="34">
                  <c:v>0.68765094816725625</c:v>
                </c:pt>
                <c:pt idx="35">
                  <c:v>0.73179298606121401</c:v>
                </c:pt>
                <c:pt idx="36">
                  <c:v>0.77735769229464513</c:v>
                </c:pt>
                <c:pt idx="37">
                  <c:v>0.82442828466501361</c:v>
                </c:pt>
                <c:pt idx="38">
                  <c:v>0.87300670304832839</c:v>
                </c:pt>
                <c:pt idx="39">
                  <c:v>0.92309476208632923</c:v>
                </c:pt>
                <c:pt idx="40">
                  <c:v>0.97469411913530202</c:v>
                </c:pt>
                <c:pt idx="41">
                  <c:v>1.0278062814294457</c:v>
                </c:pt>
                <c:pt idx="42">
                  <c:v>1.0824326127043136</c:v>
                </c:pt>
                <c:pt idx="43">
                  <c:v>1.1385743393343224</c:v>
                </c:pt>
                <c:pt idx="44">
                  <c:v>1.1962325560316953</c:v>
                </c:pt>
                <c:pt idx="45">
                  <c:v>1.2554082311485357</c:v>
                </c:pt>
                <c:pt idx="46">
                  <c:v>1.3161022116188561</c:v>
                </c:pt>
                <c:pt idx="47">
                  <c:v>1.378315227573186</c:v>
                </c:pt>
                <c:pt idx="48">
                  <c:v>1.442047896654747</c:v>
                </c:pt>
                <c:pt idx="49">
                  <c:v>1.5073007280630228</c:v>
                </c:pt>
                <c:pt idx="50">
                  <c:v>1.5740741263478035</c:v>
                </c:pt>
                <c:pt idx="51">
                  <c:v>1.6423688415685693</c:v>
                </c:pt>
                <c:pt idx="52">
                  <c:v>1.7121864232826374</c:v>
                </c:pt>
                <c:pt idx="53">
                  <c:v>1.7835287824188479</c:v>
                </c:pt>
                <c:pt idx="54">
                  <c:v>1.8563977487748056</c:v>
                </c:pt>
                <c:pt idx="55">
                  <c:v>1.9307950735265267</c:v>
                </c:pt>
                <c:pt idx="56">
                  <c:v>2.0067224316036958</c:v>
                </c:pt>
                <c:pt idx="57">
                  <c:v>2.0841814239401626</c:v>
                </c:pt>
                <c:pt idx="58">
                  <c:v>2.1631735796084643</c:v>
                </c:pt>
                <c:pt idx="59">
                  <c:v>2.2437003578463917</c:v>
                </c:pt>
                <c:pt idx="60">
                  <c:v>2.3257631499829303</c:v>
                </c:pt>
                <c:pt idx="61">
                  <c:v>2.4093632812703012</c:v>
                </c:pt>
                <c:pt idx="62">
                  <c:v>2.4945020126282627</c:v>
                </c:pt>
                <c:pt idx="63">
                  <c:v>2.5811805423063396</c:v>
                </c:pt>
                <c:pt idx="64">
                  <c:v>2.6694000074691968</c:v>
                </c:pt>
                <c:pt idx="65">
                  <c:v>2.7591614857099533</c:v>
                </c:pt>
                <c:pt idx="66">
                  <c:v>2.8504659964958816</c:v>
                </c:pt>
                <c:pt idx="67">
                  <c:v>2.943314502550578</c:v>
                </c:pt>
                <c:pt idx="68">
                  <c:v>3.0377079111764012</c:v>
                </c:pt>
                <c:pt idx="69">
                  <c:v>3.1336470755206869</c:v>
                </c:pt>
                <c:pt idx="70">
                  <c:v>3.2311327957889922</c:v>
                </c:pt>
                <c:pt idx="71">
                  <c:v>3.3301658204083964</c:v>
                </c:pt>
                <c:pt idx="72">
                  <c:v>3.4307468471436642</c:v>
                </c:pt>
                <c:pt idx="73">
                  <c:v>3.5328765241688873</c:v>
                </c:pt>
                <c:pt idx="74">
                  <c:v>3.6365554510970384</c:v>
                </c:pt>
                <c:pt idx="75">
                  <c:v>3.741784179969708</c:v>
                </c:pt>
                <c:pt idx="76">
                  <c:v>3.8485632162091452</c:v>
                </c:pt>
                <c:pt idx="77">
                  <c:v>3.9568930195345793</c:v>
                </c:pt>
                <c:pt idx="78">
                  <c:v>4.0667740048446737</c:v>
                </c:pt>
                <c:pt idx="79">
                  <c:v>4.1782065430678497</c:v>
                </c:pt>
                <c:pt idx="80">
                  <c:v>4.2911909619820925</c:v>
                </c:pt>
                <c:pt idx="81">
                  <c:v>4.4057275470057782</c:v>
                </c:pt>
                <c:pt idx="82">
                  <c:v>4.5218165419609289</c:v>
                </c:pt>
                <c:pt idx="83">
                  <c:v>4.6394581498102569</c:v>
                </c:pt>
                <c:pt idx="84">
                  <c:v>4.7586525333692462</c:v>
                </c:pt>
                <c:pt idx="85">
                  <c:v>4.8793998159944589</c:v>
                </c:pt>
                <c:pt idx="86">
                  <c:v>5.0017000822491893</c:v>
                </c:pt>
                <c:pt idx="87">
                  <c:v>5.125553378547508</c:v>
                </c:pt>
                <c:pt idx="88">
                  <c:v>5.2509597137776947</c:v>
                </c:pt>
                <c:pt idx="89">
                  <c:v>5.3779190599059863</c:v>
                </c:pt>
                <c:pt idx="90">
                  <c:v>5.5064313525615365</c:v>
                </c:pt>
                <c:pt idx="91">
                  <c:v>5.6364964916034062</c:v>
                </c:pt>
                <c:pt idx="92">
                  <c:v>5.7681143416703815</c:v>
                </c:pt>
                <c:pt idx="93">
                  <c:v>5.9012847327143616</c:v>
                </c:pt>
                <c:pt idx="94">
                  <c:v>6.0360074605180252</c:v>
                </c:pt>
                <c:pt idx="95">
                  <c:v>6.172282287197441</c:v>
                </c:pt>
                <c:pt idx="96">
                  <c:v>6.3101089416902543</c:v>
                </c:pt>
                <c:pt idx="97">
                  <c:v>6.4494871202300539</c:v>
                </c:pt>
                <c:pt idx="98">
                  <c:v>6.590416486807487</c:v>
                </c:pt>
                <c:pt idx="99">
                  <c:v>6.7328966736186615</c:v>
                </c:pt>
                <c:pt idx="100">
                  <c:v>6.8769272815013487</c:v>
                </c:pt>
                <c:pt idx="101">
                  <c:v>7.0225076554372281</c:v>
                </c:pt>
                <c:pt idx="102">
                  <c:v>7.1696366589054188</c:v>
                </c:pt>
                <c:pt idx="103">
                  <c:v>7.3183128977181013</c:v>
                </c:pt>
                <c:pt idx="104">
                  <c:v>7.4685349450085319</c:v>
                </c:pt>
                <c:pt idx="105">
                  <c:v>7.6203013416631071</c:v>
                </c:pt>
                <c:pt idx="106">
                  <c:v>7.7736105967426132</c:v>
                </c:pt>
                <c:pt idx="107">
                  <c:v>7.9284611878930713</c:v>
                </c:pt>
                <c:pt idx="108">
                  <c:v>8.0848515617465715</c:v>
                </c:pt>
                <c:pt idx="109">
                  <c:v>8.242780134312488</c:v>
                </c:pt>
                <c:pt idx="110">
                  <c:v>8.4022452913594172</c:v>
                </c:pt>
                <c:pt idx="111">
                  <c:v>8.5632453887881983</c:v>
                </c:pt>
                <c:pt idx="112">
                  <c:v>8.7257787529963426</c:v>
                </c:pt>
                <c:pt idx="113">
                  <c:v>8.8898436812341703</c:v>
                </c:pt>
                <c:pt idx="114">
                  <c:v>9.0554384419529708</c:v>
                </c:pt>
                <c:pt idx="115">
                  <c:v>9.222561275145468</c:v>
                </c:pt>
                <c:pt idx="116">
                  <c:v>9.3912103926788557</c:v>
                </c:pt>
                <c:pt idx="117">
                  <c:v>9.56138397862067</c:v>
                </c:pt>
                <c:pt idx="118">
                  <c:v>9.7330801895577519</c:v>
                </c:pt>
                <c:pt idx="119">
                  <c:v>9.906297154908529</c:v>
                </c:pt>
                <c:pt idx="120">
                  <c:v>10.081032977228853</c:v>
                </c:pt>
                <c:pt idx="121">
                  <c:v>10.25728573251161</c:v>
                </c:pt>
                <c:pt idx="122">
                  <c:v>10.435053470480307</c:v>
                </c:pt>
                <c:pt idx="123">
                  <c:v>10.614334214876846</c:v>
                </c:pt>
                <c:pt idx="124">
                  <c:v>10.795125963743665</c:v>
                </c:pt>
                <c:pt idx="125">
                  <c:v>10.977426689700444</c:v>
                </c:pt>
                <c:pt idx="126">
                  <c:v>11.161234340215545</c:v>
                </c:pt>
                <c:pt idx="127">
                  <c:v>11.346546837872349</c:v>
                </c:pt>
                <c:pt idx="128">
                  <c:v>11.533362080630674</c:v>
                </c:pt>
                <c:pt idx="129">
                  <c:v>11.721677942083401</c:v>
                </c:pt>
                <c:pt idx="130">
                  <c:v>11.911492271708493</c:v>
                </c:pt>
                <c:pt idx="131">
                  <c:v>12.102802895116509</c:v>
                </c:pt>
                <c:pt idx="132">
                  <c:v>12.295607614293797</c:v>
                </c:pt>
                <c:pt idx="133">
                  <c:v>12.489904207841459</c:v>
                </c:pt>
                <c:pt idx="134">
                  <c:v>12.685690431210244</c:v>
                </c:pt>
                <c:pt idx="135">
                  <c:v>12.88296401693148</c:v>
                </c:pt>
                <c:pt idx="136">
                  <c:v>13.081722674844158</c:v>
                </c:pt>
                <c:pt idx="137">
                  <c:v>13.281964092318304</c:v>
                </c:pt>
                <c:pt idx="138">
                  <c:v>13.48368593447471</c:v>
                </c:pt>
                <c:pt idx="139">
                  <c:v>13.68688584440118</c:v>
                </c:pt>
                <c:pt idx="140">
                  <c:v>13.891561443365344</c:v>
                </c:pt>
                <c:pt idx="141">
                  <c:v>14.097710331024171</c:v>
                </c:pt>
                <c:pt idx="142">
                  <c:v>14.305330085630263</c:v>
                </c:pt>
                <c:pt idx="143">
                  <c:v>14.514418264235015</c:v>
                </c:pt>
                <c:pt idx="144">
                  <c:v>14.724972402888742</c:v>
                </c:pt>
                <c:pt idx="145">
                  <c:v>14.93699001683785</c:v>
                </c:pt>
                <c:pt idx="146">
                  <c:v>15.15046860071913</c:v>
                </c:pt>
                <c:pt idx="147">
                  <c:v>15.365405628751256</c:v>
                </c:pt>
                <c:pt idx="148">
                  <c:v>15.581798554923571</c:v>
                </c:pt>
                <c:pt idx="149">
                  <c:v>15.799644813182214</c:v>
                </c:pt>
                <c:pt idx="150">
                  <c:v>16.018941817613687</c:v>
                </c:pt>
                <c:pt idx="151">
                  <c:v>16.239687043291873</c:v>
                </c:pt>
                <c:pt idx="152">
                  <c:v>16.461878107406228</c:v>
                </c:pt>
                <c:pt idx="153">
                  <c:v>16.68551268913042</c:v>
                </c:pt>
                <c:pt idx="154">
                  <c:v>16.910588449199778</c:v>
                </c:pt>
                <c:pt idx="155">
                  <c:v>17.137103030072481</c:v>
                </c:pt>
                <c:pt idx="156">
                  <c:v>17.365054056088677</c:v>
                </c:pt>
                <c:pt idx="157">
                  <c:v>17.594439133627603</c:v>
                </c:pt>
                <c:pt idx="158">
                  <c:v>17.825255851262732</c:v>
                </c:pt>
                <c:pt idx="159">
                  <c:v>18.057501779915018</c:v>
                </c:pt>
                <c:pt idx="160">
                  <c:v>18.291174473004272</c:v>
                </c:pt>
                <c:pt idx="161">
                  <c:v>18.526271466598711</c:v>
                </c:pt>
                <c:pt idx="162">
                  <c:v>18.762790279562743</c:v>
                </c:pt>
                <c:pt idx="163">
                  <c:v>19.000728413703001</c:v>
                </c:pt>
                <c:pt idx="164">
                  <c:v>19.240083353912706</c:v>
                </c:pt>
                <c:pt idx="165">
                  <c:v>19.480852568314351</c:v>
                </c:pt>
                <c:pt idx="166">
                  <c:v>19.723033508400796</c:v>
                </c:pt>
                <c:pt idx="167">
                  <c:v>19.966623609174771</c:v>
                </c:pt>
                <c:pt idx="168">
                  <c:v>20.211620289286838</c:v>
                </c:pt>
                <c:pt idx="169">
                  <c:v>20.45802095117185</c:v>
                </c:pt>
                <c:pt idx="170">
                  <c:v>20.705822981183935</c:v>
                </c:pt>
                <c:pt idx="171">
                  <c:v>20.955023749730049</c:v>
                </c:pt>
                <c:pt idx="172">
                  <c:v>21.205620611402111</c:v>
                </c:pt>
                <c:pt idx="173">
                  <c:v>21.457610905107764</c:v>
                </c:pt>
                <c:pt idx="174">
                  <c:v>21.710991954199798</c:v>
                </c:pt>
                <c:pt idx="175">
                  <c:v>21.965761066604248</c:v>
                </c:pt>
                <c:pt idx="176">
                  <c:v>22.221915534947197</c:v>
                </c:pt>
                <c:pt idx="177">
                  <c:v>22.479452636680332</c:v>
                </c:pt>
                <c:pt idx="178">
                  <c:v>22.738369634205245</c:v>
                </c:pt>
                <c:pt idx="179">
                  <c:v>22.998663774996551</c:v>
                </c:pt>
                <c:pt idx="180">
                  <c:v>23.260332291723792</c:v>
                </c:pt>
                <c:pt idx="181">
                  <c:v>23.5233724023722</c:v>
                </c:pt>
                <c:pt idx="182">
                  <c:v>23.787781310362313</c:v>
                </c:pt>
                <c:pt idx="183">
                  <c:v>24.053556204668489</c:v>
                </c:pt>
                <c:pt idx="184">
                  <c:v>24.320694259936307</c:v>
                </c:pt>
                <c:pt idx="185">
                  <c:v>24.58919263659892</c:v>
                </c:pt>
                <c:pt idx="186">
                  <c:v>24.859048480992346</c:v>
                </c:pt>
                <c:pt idx="187">
                  <c:v>25.130258925469725</c:v>
                </c:pt>
                <c:pt idx="188">
                  <c:v>25.402821088514578</c:v>
                </c:pt>
                <c:pt idx="189">
                  <c:v>25.676732074853067</c:v>
                </c:pt>
                <c:pt idx="190">
                  <c:v>25.951988975565289</c:v>
                </c:pt>
                <c:pt idx="191">
                  <c:v>26.228588868195605</c:v>
                </c:pt>
                <c:pt idx="192">
                  <c:v>26.506528816862048</c:v>
                </c:pt>
                <c:pt idx="193">
                  <c:v>26.785805872364794</c:v>
                </c:pt>
                <c:pt idx="194">
                  <c:v>27.066417072293746</c:v>
                </c:pt>
                <c:pt idx="195">
                  <c:v>27.348359441135223</c:v>
                </c:pt>
                <c:pt idx="196">
                  <c:v>27.631629990377771</c:v>
                </c:pt>
                <c:pt idx="197">
                  <c:v>27.916225718617127</c:v>
                </c:pt>
                <c:pt idx="198">
                  <c:v>28.20214361166035</c:v>
                </c:pt>
                <c:pt idx="199">
                  <c:v>28.489380642629101</c:v>
                </c:pt>
                <c:pt idx="200">
                  <c:v>28.777933772062124</c:v>
                </c:pt>
                <c:pt idx="201">
                  <c:v>29.067799948016933</c:v>
                </c:pt>
                <c:pt idx="202">
                  <c:v>29.358976106170704</c:v>
                </c:pt>
                <c:pt idx="203">
                  <c:v>29.651459169920386</c:v>
                </c:pt>
                <c:pt idx="204">
                  <c:v>29.945246050482073</c:v>
                </c:pt>
                <c:pt idx="205">
                  <c:v>30.240333646989601</c:v>
                </c:pt>
                <c:pt idx="206">
                  <c:v>30.536718846592432</c:v>
                </c:pt>
                <c:pt idx="207">
                  <c:v>30.834398524552789</c:v>
                </c:pt>
                <c:pt idx="208">
                  <c:v>31.133369544342095</c:v>
                </c:pt>
                <c:pt idx="209">
                  <c:v>31.433628757736695</c:v>
                </c:pt>
                <c:pt idx="210">
                  <c:v>31.735173004912898</c:v>
                </c:pt>
                <c:pt idx="211">
                  <c:v>32.037999114541321</c:v>
                </c:pt>
                <c:pt idx="212">
                  <c:v>32.34210390388057</c:v>
                </c:pt>
                <c:pt idx="213">
                  <c:v>32.647484178870265</c:v>
                </c:pt>
                <c:pt idx="214">
                  <c:v>32.954136734223376</c:v>
                </c:pt>
                <c:pt idx="215">
                  <c:v>33.262058353517965</c:v>
                </c:pt>
                <c:pt idx="216">
                  <c:v>33.57124580928825</c:v>
                </c:pt>
                <c:pt idx="217">
                  <c:v>33.881695863115077</c:v>
                </c:pt>
                <c:pt idx="218">
                  <c:v>34.193405265715739</c:v>
                </c:pt>
                <c:pt idx="219">
                  <c:v>34.506370757033203</c:v>
                </c:pt>
                <c:pt idx="220">
                  <c:v>34.820589066324743</c:v>
                </c:pt>
                <c:pt idx="221">
                  <c:v>35.136056912249963</c:v>
                </c:pt>
                <c:pt idx="222">
                  <c:v>35.452771002958237</c:v>
                </c:pt>
                <c:pt idx="223">
                  <c:v>35.770728036175576</c:v>
                </c:pt>
                <c:pt idx="224">
                  <c:v>36.089924699290926</c:v>
                </c:pt>
                <c:pt idx="225">
                  <c:v>36.410357669441879</c:v>
                </c:pt>
                <c:pt idx="226">
                  <c:v>36.732023613599857</c:v>
                </c:pt>
                <c:pt idx="227">
                  <c:v>37.054919188654715</c:v>
                </c:pt>
                <c:pt idx="228">
                  <c:v>37.379041041498823</c:v>
                </c:pt>
                <c:pt idx="229">
                  <c:v>37.70438580911059</c:v>
                </c:pt>
                <c:pt idx="230">
                  <c:v>38.030950118637492</c:v>
                </c:pt>
                <c:pt idx="231">
                  <c:v>38.358730587478505</c:v>
                </c:pt>
                <c:pt idx="232">
                  <c:v>38.687723823366099</c:v>
                </c:pt>
                <c:pt idx="233">
                  <c:v>39.017926424447651</c:v>
                </c:pt>
                <c:pt idx="234">
                  <c:v>39.349334979366404</c:v>
                </c:pt>
                <c:pt idx="235">
                  <c:v>39.681946067341862</c:v>
                </c:pt>
                <c:pt idx="236">
                  <c:v>40.015756258249738</c:v>
                </c:pt>
                <c:pt idx="237">
                  <c:v>40.350762112701389</c:v>
                </c:pt>
                <c:pt idx="238">
                  <c:v>40.686960182122768</c:v>
                </c:pt>
                <c:pt idx="239">
                  <c:v>41.024347008832869</c:v>
                </c:pt>
                <c:pt idx="240">
                  <c:v>41.362919126121731</c:v>
                </c:pt>
                <c:pt idx="241">
                  <c:v>41.702673058327953</c:v>
                </c:pt>
                <c:pt idx="242">
                  <c:v>42.043605320915717</c:v>
                </c:pt>
                <c:pt idx="243">
                  <c:v>42.385712420551386</c:v>
                </c:pt>
                <c:pt idx="244">
                  <c:v>42.728990855179603</c:v>
                </c:pt>
                <c:pt idx="245">
                  <c:v>43.073437114098965</c:v>
                </c:pt>
                <c:pt idx="246">
                  <c:v>43.419047678037231</c:v>
                </c:pt>
                <c:pt idx="247">
                  <c:v>43.765819019226079</c:v>
                </c:pt>
                <c:pt idx="248">
                  <c:v>44.113747601475417</c:v>
                </c:pt>
                <c:pt idx="249">
                  <c:v>44.462829880247263</c:v>
                </c:pt>
                <c:pt idx="250">
                  <c:v>44.813062302729179</c:v>
                </c:pt>
                <c:pt idx="251">
                  <c:v>45.164440934654117</c:v>
                </c:pt>
                <c:pt idx="252">
                  <c:v>45.51696108637254</c:v>
                </c:pt>
                <c:pt idx="253">
                  <c:v>45.87061768536779</c:v>
                </c:pt>
                <c:pt idx="254">
                  <c:v>46.225405649532618</c:v>
                </c:pt>
                <c:pt idx="255">
                  <c:v>46.58131988726899</c:v>
                </c:pt>
                <c:pt idx="256">
                  <c:v>46.938355297587208</c:v>
                </c:pt>
                <c:pt idx="257">
                  <c:v>47.296506770204388</c:v>
                </c:pt>
                <c:pt idx="258">
                  <c:v>47.655769185642249</c:v>
                </c:pt>
                <c:pt idx="259">
                  <c:v>48.016137415324259</c:v>
                </c:pt>
                <c:pt idx="260">
                  <c:v>48.37760632167209</c:v>
                </c:pt>
                <c:pt idx="261">
                  <c:v>48.740170758201465</c:v>
                </c:pt>
                <c:pt idx="262">
                  <c:v>49.103825569617342</c:v>
                </c:pt>
                <c:pt idx="263">
                  <c:v>49.46856559190843</c:v>
                </c:pt>
                <c:pt idx="264">
                  <c:v>49.834385652441092</c:v>
                </c:pt>
                <c:pt idx="265">
                  <c:v>50.201280570052603</c:v>
                </c:pt>
                <c:pt idx="266">
                  <c:v>50.569245155143776</c:v>
                </c:pt>
                <c:pt idx="267">
                  <c:v>50.938274209770967</c:v>
                </c:pt>
                <c:pt idx="268">
                  <c:v>51.30836252773743</c:v>
                </c:pt>
                <c:pt idx="269">
                  <c:v>51.679504894684094</c:v>
                </c:pt>
                <c:pt idx="270">
                  <c:v>52.051696088179675</c:v>
                </c:pt>
                <c:pt idx="271">
                  <c:v>52.424930877810205</c:v>
                </c:pt>
                <c:pt idx="272">
                  <c:v>52.79920402526794</c:v>
                </c:pt>
                <c:pt idx="273">
                  <c:v>53.174510284439663</c:v>
                </c:pt>
                <c:pt idx="274">
                  <c:v>53.550844401494373</c:v>
                </c:pt>
                <c:pt idx="275">
                  <c:v>53.928201114970392</c:v>
                </c:pt>
                <c:pt idx="276">
                  <c:v>54.306575155861843</c:v>
                </c:pt>
                <c:pt idx="277">
                  <c:v>54.685961247704569</c:v>
                </c:pt>
                <c:pt idx="278">
                  <c:v>55.066354106661421</c:v>
                </c:pt>
                <c:pt idx="279">
                  <c:v>55.44774844160699</c:v>
                </c:pt>
                <c:pt idx="280">
                  <c:v>55.830138954211741</c:v>
                </c:pt>
                <c:pt idx="281">
                  <c:v>56.213520339025536</c:v>
                </c:pt>
                <c:pt idx="282">
                  <c:v>56.597887283560624</c:v>
                </c:pt>
                <c:pt idx="283">
                  <c:v>56.983234468374008</c:v>
                </c:pt>
                <c:pt idx="284">
                  <c:v>57.369556567149267</c:v>
                </c:pt>
                <c:pt idx="285">
                  <c:v>57.756848246777771</c:v>
                </c:pt>
                <c:pt idx="286">
                  <c:v>58.145104167439357</c:v>
                </c:pt>
                <c:pt idx="287">
                  <c:v>58.534318982682414</c:v>
                </c:pt>
                <c:pt idx="288">
                  <c:v>58.924487339503408</c:v>
                </c:pt>
                <c:pt idx="289">
                  <c:v>59.315603878425847</c:v>
                </c:pt>
                <c:pt idx="290">
                  <c:v>59.707663233578678</c:v>
                </c:pt>
                <c:pt idx="291">
                  <c:v>60.100660032774108</c:v>
                </c:pt>
                <c:pt idx="292">
                  <c:v>60.494588897584904</c:v>
                </c:pt>
                <c:pt idx="293">
                  <c:v>60.889444443421098</c:v>
                </c:pt>
                <c:pt idx="294">
                  <c:v>61.285221279606155</c:v>
                </c:pt>
                <c:pt idx="295">
                  <c:v>61.681914009452598</c:v>
                </c:pt>
                <c:pt idx="296">
                  <c:v>62.079517230337061</c:v>
                </c:pt>
                <c:pt idx="297">
                  <c:v>62.478025533774819</c:v>
                </c:pt>
                <c:pt idx="298">
                  <c:v>62.877429301765794</c:v>
                </c:pt>
                <c:pt idx="299">
                  <c:v>63.277710496898756</c:v>
                </c:pt>
                <c:pt idx="300">
                  <c:v>63.67884686045079</c:v>
                </c:pt>
                <c:pt idx="301">
                  <c:v>64.080816116947545</c:v>
                </c:pt>
                <c:pt idx="302">
                  <c:v>64.483595974671772</c:v>
                </c:pt>
                <c:pt idx="303">
                  <c:v>64.887164126164947</c:v>
                </c:pt>
                <c:pt idx="304">
                  <c:v>65.291498248722021</c:v>
                </c:pt>
                <c:pt idx="305">
                  <c:v>65.696576004879205</c:v>
                </c:pt>
                <c:pt idx="306">
                  <c:v>66.10237504289492</c:v>
                </c:pt>
                <c:pt idx="307">
                  <c:v>66.508872997223818</c:v>
                </c:pt>
                <c:pt idx="308">
                  <c:v>66.916047488983978</c:v>
                </c:pt>
                <c:pt idx="309">
                  <c:v>67.32387612641719</c:v>
                </c:pt>
                <c:pt idx="310">
                  <c:v>67.732336505342431</c:v>
                </c:pt>
                <c:pt idx="311">
                  <c:v>68.141406209602437</c:v>
                </c:pt>
                <c:pt idx="312">
                  <c:v>68.551062811503499</c:v>
                </c:pt>
                <c:pt idx="313">
                  <c:v>68.961283872248345</c:v>
                </c:pt>
                <c:pt idx="314">
                  <c:v>69.37204694236226</c:v>
                </c:pt>
                <c:pt idx="315">
                  <c:v>69.783329562112343</c:v>
                </c:pt>
                <c:pt idx="316">
                  <c:v>70.195109261919953</c:v>
                </c:pt>
                <c:pt idx="317">
                  <c:v>70.607363562766324</c:v>
                </c:pt>
                <c:pt idx="318">
                  <c:v>71.020069976591415</c:v>
                </c:pt>
                <c:pt idx="319">
                  <c:v>71.433206006685865</c:v>
                </c:pt>
                <c:pt idx="320">
                  <c:v>71.846749148076213</c:v>
                </c:pt>
                <c:pt idx="321">
                  <c:v>72.260678579850122</c:v>
                </c:pt>
                <c:pt idx="322">
                  <c:v>72.674976859116285</c:v>
                </c:pt>
                <c:pt idx="323">
                  <c:v>73.089628230401004</c:v>
                </c:pt>
                <c:pt idx="324">
                  <c:v>73.50461693331026</c:v>
                </c:pt>
                <c:pt idx="325">
                  <c:v>73.919927202710255</c:v>
                </c:pt>
                <c:pt idx="326">
                  <c:v>74.335543268904559</c:v>
                </c:pt>
                <c:pt idx="327">
                  <c:v>74.751449357807971</c:v>
                </c:pt>
                <c:pt idx="328">
                  <c:v>75.167629691117</c:v>
                </c:pt>
                <c:pt idx="329">
                  <c:v>75.58406848647698</c:v>
                </c:pt>
                <c:pt idx="330">
                  <c:v>76.000749957645851</c:v>
                </c:pt>
                <c:pt idx="331">
                  <c:v>76.417658314654631</c:v>
                </c:pt>
                <c:pt idx="332">
                  <c:v>76.834777763964496</c:v>
                </c:pt>
                <c:pt idx="333">
                  <c:v>77.252092508620535</c:v>
                </c:pt>
                <c:pt idx="334">
                  <c:v>77.669586748402182</c:v>
                </c:pt>
                <c:pt idx="335">
                  <c:v>78.087244679970297</c:v>
                </c:pt>
                <c:pt idx="336">
                  <c:v>78.505050497010942</c:v>
                </c:pt>
                <c:pt idx="337">
                  <c:v>78.922988390375721</c:v>
                </c:pt>
                <c:pt idx="338">
                  <c:v>79.341042548218894</c:v>
                </c:pt>
                <c:pt idx="339">
                  <c:v>79.759197156131137</c:v>
                </c:pt>
                <c:pt idx="340">
                  <c:v>80.177436397269872</c:v>
                </c:pt>
                <c:pt idx="341">
                  <c:v>80.595744452486386</c:v>
                </c:pt>
                <c:pt idx="342">
                  <c:v>81.014105500449517</c:v>
                </c:pt>
                <c:pt idx="343">
                  <c:v>81.432503717766082</c:v>
                </c:pt>
                <c:pt idx="344">
                  <c:v>81.85092327909787</c:v>
                </c:pt>
                <c:pt idx="345">
                  <c:v>82.269348357275405</c:v>
                </c:pt>
                <c:pt idx="346">
                  <c:v>82.68776312340826</c:v>
                </c:pt>
                <c:pt idx="347">
                  <c:v>83.106151746992126</c:v>
                </c:pt>
                <c:pt idx="348">
                  <c:v>83.524498581101327</c:v>
                </c:pt>
                <c:pt idx="349">
                  <c:v>83.942788347693977</c:v>
                </c:pt>
                <c:pt idx="350">
                  <c:v>84.361005952635153</c:v>
                </c:pt>
                <c:pt idx="351">
                  <c:v>84.779136300595141</c:v>
                </c:pt>
                <c:pt idx="352">
                  <c:v>85.197164295128772</c:v>
                </c:pt>
                <c:pt idx="353">
                  <c:v>85.615074838751738</c:v>
                </c:pt>
                <c:pt idx="354">
                  <c:v>86.032852833013806</c:v>
                </c:pt>
                <c:pt idx="355">
                  <c:v>86.45048317856903</c:v>
                </c:pt>
                <c:pt idx="356">
                  <c:v>86.867950775242875</c:v>
                </c:pt>
                <c:pt idx="357">
                  <c:v>87.285240522096288</c:v>
                </c:pt>
                <c:pt idx="358">
                  <c:v>87.702337317486695</c:v>
                </c:pt>
                <c:pt idx="359">
                  <c:v>88.119226059125964</c:v>
                </c:pt>
                <c:pt idx="360">
                  <c:v>88.535895518612804</c:v>
                </c:pt>
                <c:pt idx="361">
                  <c:v>88.952342217970994</c:v>
                </c:pt>
                <c:pt idx="362">
                  <c:v>89.36856655499254</c:v>
                </c:pt>
                <c:pt idx="363">
                  <c:v>89.784568926548374</c:v>
                </c:pt>
                <c:pt idx="364">
                  <c:v>90.200349728591334</c:v>
                </c:pt>
                <c:pt idx="365">
                  <c:v>90.615909356159179</c:v>
                </c:pt>
                <c:pt idx="366">
                  <c:v>91.031248203377515</c:v>
                </c:pt>
                <c:pt idx="367">
                  <c:v>91.446366663462783</c:v>
                </c:pt>
                <c:pt idx="368">
                  <c:v>91.861265128725208</c:v>
                </c:pt>
                <c:pt idx="369">
                  <c:v>92.275943990571733</c:v>
                </c:pt>
                <c:pt idx="370">
                  <c:v>92.690403639508929</c:v>
                </c:pt>
                <c:pt idx="371">
                  <c:v>93.104644465145924</c:v>
                </c:pt>
                <c:pt idx="372">
                  <c:v>93.518666856197285</c:v>
                </c:pt>
                <c:pt idx="373">
                  <c:v>93.932471200485949</c:v>
                </c:pt>
                <c:pt idx="374">
                  <c:v>94.346057884946035</c:v>
                </c:pt>
                <c:pt idx="375">
                  <c:v>94.75942729562577</c:v>
                </c:pt>
                <c:pt idx="376">
                  <c:v>95.172579817690291</c:v>
                </c:pt>
                <c:pt idx="377">
                  <c:v>95.585515835424545</c:v>
                </c:pt>
                <c:pt idx="378">
                  <c:v>95.998235732236054</c:v>
                </c:pt>
                <c:pt idx="379">
                  <c:v>96.410739890657794</c:v>
                </c:pt>
                <c:pt idx="380">
                  <c:v>96.823028692350974</c:v>
                </c:pt>
                <c:pt idx="381">
                  <c:v>97.235102518107837</c:v>
                </c:pt>
                <c:pt idx="382">
                  <c:v>97.646961747854448</c:v>
                </c:pt>
                <c:pt idx="383">
                  <c:v>98.058606760653447</c:v>
                </c:pt>
                <c:pt idx="384">
                  <c:v>98.470037934706866</c:v>
                </c:pt>
                <c:pt idx="385">
                  <c:v>98.881255647358827</c:v>
                </c:pt>
                <c:pt idx="386">
                  <c:v>99.292260275098315</c:v>
                </c:pt>
                <c:pt idx="387">
                  <c:v>99.703052193561888</c:v>
                </c:pt>
                <c:pt idx="388">
                  <c:v>100.11363177753641</c:v>
                </c:pt>
                <c:pt idx="389">
                  <c:v>100.52399940096177</c:v>
                </c:pt>
                <c:pt idx="390">
                  <c:v>100.93415543693355</c:v>
                </c:pt>
                <c:pt idx="391">
                  <c:v>101.34410025770575</c:v>
                </c:pt>
                <c:pt idx="392">
                  <c:v>101.75383423469343</c:v>
                </c:pt>
                <c:pt idx="393">
                  <c:v>102.16335773847541</c:v>
                </c:pt>
                <c:pt idx="394">
                  <c:v>102.57267113879689</c:v>
                </c:pt>
                <c:pt idx="395">
                  <c:v>102.98177480457211</c:v>
                </c:pt>
                <c:pt idx="396">
                  <c:v>103.39066910388701</c:v>
                </c:pt>
                <c:pt idx="397">
                  <c:v>103.79935440400179</c:v>
                </c:pt>
                <c:pt idx="398">
                  <c:v>104.20783107135361</c:v>
                </c:pt>
                <c:pt idx="399">
                  <c:v>104.61609947155912</c:v>
                </c:pt>
                <c:pt idx="400">
                  <c:v>105.02415996941711</c:v>
                </c:pt>
                <c:pt idx="401">
                  <c:v>109.09335851844368</c:v>
                </c:pt>
                <c:pt idx="402">
                  <c:v>113.14200193793042</c:v>
                </c:pt>
                <c:pt idx="403">
                  <c:v>117.17044730203112</c:v>
                </c:pt>
                <c:pt idx="404">
                  <c:v>121.17904384443159</c:v>
                </c:pt>
                <c:pt idx="405">
                  <c:v>125.16813320040828</c:v>
                </c:pt>
                <c:pt idx="406">
                  <c:v>129.13804963962389</c:v>
                </c:pt>
                <c:pt idx="407">
                  <c:v>133.08912029008374</c:v>
                </c:pt>
                <c:pt idx="408">
                  <c:v>137.02166535365436</c:v>
                </c:pt>
                <c:pt idx="409">
                  <c:v>140.93599831352404</c:v>
                </c:pt>
                <c:pt idx="410">
                  <c:v>144.83242613396564</c:v>
                </c:pt>
                <c:pt idx="411">
                  <c:v>148.71124945274235</c:v>
                </c:pt>
                <c:pt idx="412">
                  <c:v>152.57276276648031</c:v>
                </c:pt>
                <c:pt idx="413">
                  <c:v>156.41725460931431</c:v>
                </c:pt>
                <c:pt idx="414">
                  <c:v>160.24500772509825</c:v>
                </c:pt>
                <c:pt idx="415">
                  <c:v>164.05629923345583</c:v>
                </c:pt>
                <c:pt idx="416">
                  <c:v>167.85140078993459</c:v>
                </c:pt>
                <c:pt idx="417">
                  <c:v>171.63057874051168</c:v>
                </c:pt>
                <c:pt idx="418">
                  <c:v>175.39409427068875</c:v>
                </c:pt>
                <c:pt idx="419">
                  <c:v>179.14220354940042</c:v>
                </c:pt>
                <c:pt idx="420">
                  <c:v>182.87515786795063</c:v>
                </c:pt>
                <c:pt idx="421">
                  <c:v>186.59320377418021</c:v>
                </c:pt>
                <c:pt idx="422">
                  <c:v>190.29658320205922</c:v>
                </c:pt>
                <c:pt idx="423">
                  <c:v>193.98553359688839</c:v>
                </c:pt>
                <c:pt idx="424">
                  <c:v>197.66028803628484</c:v>
                </c:pt>
                <c:pt idx="425">
                  <c:v>201.32107534711935</c:v>
                </c:pt>
                <c:pt idx="426">
                  <c:v>204.968120218564</c:v>
                </c:pt>
                <c:pt idx="427">
                  <c:v>208.60164331140174</c:v>
                </c:pt>
                <c:pt idx="428">
                  <c:v>212.22186136374245</c:v>
                </c:pt>
                <c:pt idx="429">
                  <c:v>215.82898729328275</c:v>
                </c:pt>
                <c:pt idx="430">
                  <c:v>219.4232302962412</c:v>
                </c:pt>
                <c:pt idx="431">
                  <c:v>223.00479594309354</c:v>
                </c:pt>
                <c:pt idx="432">
                  <c:v>226.57388627122765</c:v>
                </c:pt>
                <c:pt idx="433">
                  <c:v>230.13069987463155</c:v>
                </c:pt>
                <c:pt idx="434">
                  <c:v>233.67543199072344</c:v>
                </c:pt>
                <c:pt idx="435">
                  <c:v>237.20827458442702</c:v>
                </c:pt>
                <c:pt idx="436">
                  <c:v>240.72941642959086</c:v>
                </c:pt>
                <c:pt idx="437">
                  <c:v>244.23904318784622</c:v>
                </c:pt>
                <c:pt idx="438">
                  <c:v>247.73733748499313</c:v>
                </c:pt>
                <c:pt idx="439">
                  <c:v>251.2244789850005</c:v>
                </c:pt>
                <c:pt idx="440">
                  <c:v>254.70064446170224</c:v>
                </c:pt>
                <c:pt idx="441">
                  <c:v>258.16600786826729</c:v>
                </c:pt>
                <c:pt idx="442">
                  <c:v>261.62074040451819</c:v>
                </c:pt>
                <c:pt idx="443">
                  <c:v>265.06501058216924</c:v>
                </c:pt>
                <c:pt idx="444">
                  <c:v>268.4989842880517</c:v>
                </c:pt>
                <c:pt idx="445">
                  <c:v>271.92282484539101</c:v>
                </c:pt>
                <c:pt idx="446">
                  <c:v>275.33669307319695</c:v>
                </c:pt>
                <c:pt idx="447">
                  <c:v>278.74074734382617</c:v>
                </c:pt>
                <c:pt idx="448">
                  <c:v>282.13514363877169</c:v>
                </c:pt>
                <c:pt idx="449">
                  <c:v>285.52003560273363</c:v>
                </c:pt>
                <c:pt idx="450">
                  <c:v>288.89557459602042</c:v>
                </c:pt>
                <c:pt idx="451">
                  <c:v>292.26190974532926</c:v>
                </c:pt>
                <c:pt idx="452">
                  <c:v>295.6191879929508</c:v>
                </c:pt>
                <c:pt idx="453">
                  <c:v>298.96755414444095</c:v>
                </c:pt>
                <c:pt idx="454">
                  <c:v>302.30715091480101</c:v>
                </c:pt>
                <c:pt idx="455">
                  <c:v>305.63811897320403</c:v>
                </c:pt>
                <c:pt idx="456">
                  <c:v>308.96059698630398</c:v>
                </c:pt>
                <c:pt idx="457">
                  <c:v>312.27472166016196</c:v>
                </c:pt>
                <c:pt idx="458">
                  <c:v>315.58062778082086</c:v>
                </c:pt>
                <c:pt idx="459">
                  <c:v>318.87844825355921</c:v>
                </c:pt>
                <c:pt idx="460">
                  <c:v>322.16831414085152</c:v>
                </c:pt>
                <c:pt idx="461">
                  <c:v>325.45035469906105</c:v>
                </c:pt>
                <c:pt idx="462">
                  <c:v>328.72469741388949</c:v>
                </c:pt>
                <c:pt idx="463">
                  <c:v>331.99146803460451</c:v>
                </c:pt>
                <c:pt idx="464">
                  <c:v>335.25079060706616</c:v>
                </c:pt>
                <c:pt idx="465">
                  <c:v>338.50278750556942</c:v>
                </c:pt>
                <c:pt idx="466">
                  <c:v>341.74757946351917</c:v>
                </c:pt>
                <c:pt idx="467">
                  <c:v>344.98528560295188</c:v>
                </c:pt>
                <c:pt idx="468">
                  <c:v>348.21602346291564</c:v>
                </c:pt>
                <c:pt idx="469">
                  <c:v>351.43990902671914</c:v>
                </c:pt>
                <c:pt idx="470">
                  <c:v>354.65705674805741</c:v>
                </c:pt>
                <c:pt idx="471">
                  <c:v>357.86757957602026</c:v>
                </c:pt>
                <c:pt idx="472">
                  <c:v>361.07158897898751</c:v>
                </c:pt>
                <c:pt idx="473">
                  <c:v>364.26919496741272</c:v>
                </c:pt>
                <c:pt idx="474">
                  <c:v>367.46050611549509</c:v>
                </c:pt>
                <c:pt idx="475">
                  <c:v>370.64562958173673</c:v>
                </c:pt>
                <c:pt idx="476">
                  <c:v>373.82467112838054</c:v>
                </c:pt>
                <c:pt idx="477">
                  <c:v>376.99773513972116</c:v>
                </c:pt>
                <c:pt idx="478">
                  <c:v>380.16492463927943</c:v>
                </c:pt>
                <c:pt idx="479">
                  <c:v>383.32634130582795</c:v>
                </c:pt>
                <c:pt idx="480">
                  <c:v>386.48208548825284</c:v>
                </c:pt>
                <c:pt idx="481">
                  <c:v>389.63225621923425</c:v>
                </c:pt>
                <c:pt idx="482">
                  <c:v>392.77695122772496</c:v>
                </c:pt>
                <c:pt idx="483">
                  <c:v>395.91626695020415</c:v>
                </c:pt>
                <c:pt idx="484">
                  <c:v>399.05029854067982</c:v>
                </c:pt>
                <c:pt idx="485">
                  <c:v>402.17913987941074</c:v>
                </c:pt>
                <c:pt idx="486">
                  <c:v>405.30288358031532</c:v>
                </c:pt>
                <c:pt idx="487">
                  <c:v>408.42162099703182</c:v>
                </c:pt>
                <c:pt idx="488">
                  <c:v>411.53544222759069</c:v>
                </c:pt>
                <c:pt idx="489">
                  <c:v>414.64443611765671</c:v>
                </c:pt>
                <c:pt idx="490">
                  <c:v>417.74869026229499</c:v>
                </c:pt>
                <c:pt idx="491">
                  <c:v>420.8482910062113</c:v>
                </c:pt>
                <c:pt idx="492">
                  <c:v>423.94332344241388</c:v>
                </c:pt>
                <c:pt idx="493">
                  <c:v>427.03387140924059</c:v>
                </c:pt>
                <c:pt idx="494">
                  <c:v>430.12001748569111</c:v>
                </c:pt>
                <c:pt idx="495">
                  <c:v>433.20184298500186</c:v>
                </c:pt>
                <c:pt idx="496">
                  <c:v>436.27942794639694</c:v>
                </c:pt>
                <c:pt idx="497">
                  <c:v>439.35285112494643</c:v>
                </c:pt>
                <c:pt idx="498">
                  <c:v>442.42218997946105</c:v>
                </c:pt>
                <c:pt idx="499">
                  <c:v>445.48752065834924</c:v>
                </c:pt>
                <c:pt idx="500">
                  <c:v>448.54891798336308</c:v>
                </c:pt>
                <c:pt idx="501">
                  <c:v>451.6064554311572</c:v>
                </c:pt>
                <c:pt idx="502">
                  <c:v>454.66020511258648</c:v>
                </c:pt>
                <c:pt idx="503">
                  <c:v>457.71023774966977</c:v>
                </c:pt>
                <c:pt idx="504">
                  <c:v>460.75662265014955</c:v>
                </c:pt>
                <c:pt idx="505">
                  <c:v>463.79942767958249</c:v>
                </c:pt>
                <c:pt idx="506">
                  <c:v>466.83871923090294</c:v>
                </c:pt>
                <c:pt idx="507">
                  <c:v>469.87456219140989</c:v>
                </c:pt>
                <c:pt idx="508">
                  <c:v>472.90701990714058</c:v>
                </c:pt>
                <c:pt idx="509">
                  <c:v>475.936154144608</c:v>
                </c:pt>
                <c:pt idx="510">
                  <c:v>478.96202504989873</c:v>
                </c:pt>
                <c:pt idx="511">
                  <c:v>481.98469110514907</c:v>
                </c:pt>
                <c:pt idx="512">
                  <c:v>485.00420908244467</c:v>
                </c:pt>
                <c:pt idx="513">
                  <c:v>488.02063399521938</c:v>
                </c:pt>
                <c:pt idx="514">
                  <c:v>491.03401904726479</c:v>
                </c:pt>
                <c:pt idx="515">
                  <c:v>494.04441557950349</c:v>
                </c:pt>
                <c:pt idx="516">
                  <c:v>497.05187301472375</c:v>
                </c:pt>
                <c:pt idx="517">
                  <c:v>500.0564388005252</c:v>
                </c:pt>
                <c:pt idx="518">
                  <c:v>503.05815835077868</c:v>
                </c:pt>
                <c:pt idx="519">
                  <c:v>506.05707498596308</c:v>
                </c:pt>
                <c:pt idx="520">
                  <c:v>509.05322987280238</c:v>
                </c:pt>
                <c:pt idx="521">
                  <c:v>512.0466619636893</c:v>
                </c:pt>
                <c:pt idx="522">
                  <c:v>515.03740793644306</c:v>
                </c:pt>
                <c:pt idx="523">
                  <c:v>518.02550213500842</c:v>
                </c:pt>
                <c:pt idx="524">
                  <c:v>521.01097651175655</c:v>
                </c:pt>
                <c:pt idx="525">
                  <c:v>523.99386057209563</c:v>
                </c:pt>
                <c:pt idx="526">
                  <c:v>526.97418132213193</c:v>
                </c:pt>
                <c:pt idx="527">
                  <c:v>529.95196322014613</c:v>
                </c:pt>
                <c:pt idx="528">
                  <c:v>532.92722813265254</c:v>
                </c:pt>
                <c:pt idx="529">
                  <c:v>535.89999529579632</c:v>
                </c:pt>
                <c:pt idx="530">
                  <c:v>538.87028128280849</c:v>
                </c:pt>
                <c:pt idx="531">
                  <c:v>541.83809997818457</c:v>
                </c:pt>
                <c:pt idx="532">
                  <c:v>544.80346255917391</c:v>
                </c:pt>
                <c:pt idx="533">
                  <c:v>547.7663774850721</c:v>
                </c:pt>
                <c:pt idx="534">
                  <c:v>550.72685049469453</c:v>
                </c:pt>
                <c:pt idx="535">
                  <c:v>553.6848846122806</c:v>
                </c:pt>
                <c:pt idx="536">
                  <c:v>556.64048016194226</c:v>
                </c:pt>
                <c:pt idx="537">
                  <c:v>559.59363479062733</c:v>
                </c:pt>
                <c:pt idx="538">
                  <c:v>562.54434349942858</c:v>
                </c:pt>
                <c:pt idx="539">
                  <c:v>565.49259868293439</c:v>
                </c:pt>
                <c:pt idx="540">
                  <c:v>568.43839017619291</c:v>
                </c:pt>
                <c:pt idx="541">
                  <c:v>571.38170530875323</c:v>
                </c:pt>
                <c:pt idx="542">
                  <c:v>574.32252896515899</c:v>
                </c:pt>
                <c:pt idx="543">
                  <c:v>577.26084365119698</c:v>
                </c:pt>
                <c:pt idx="544">
                  <c:v>580.19662956515981</c:v>
                </c:pt>
                <c:pt idx="545">
                  <c:v>583.12986467335145</c:v>
                </c:pt>
                <c:pt idx="546">
                  <c:v>586.06052478906065</c:v>
                </c:pt>
                <c:pt idx="547">
                  <c:v>588.98858365423894</c:v>
                </c:pt>
                <c:pt idx="548">
                  <c:v>591.91401302314705</c:v>
                </c:pt>
                <c:pt idx="549">
                  <c:v>594.83678274727583</c:v>
                </c:pt>
                <c:pt idx="550">
                  <c:v>597.75686086089729</c:v>
                </c:pt>
                <c:pt idx="551">
                  <c:v>600.67421366666031</c:v>
                </c:pt>
                <c:pt idx="552">
                  <c:v>603.58880582070833</c:v>
                </c:pt>
                <c:pt idx="553">
                  <c:v>606.50060041685913</c:v>
                </c:pt>
                <c:pt idx="554">
                  <c:v>609.40955906945146</c:v>
                </c:pt>
                <c:pt idx="555">
                  <c:v>612.3156419945268</c:v>
                </c:pt>
                <c:pt idx="556">
                  <c:v>615.21880808907031</c:v>
                </c:pt>
                <c:pt idx="557">
                  <c:v>618.11901500809324</c:v>
                </c:pt>
                <c:pt idx="558">
                  <c:v>621.01621923938694</c:v>
                </c:pt>
                <c:pt idx="559">
                  <c:v>623.91037617582435</c:v>
                </c:pt>
                <c:pt idx="560">
                  <c:v>626.80144018512499</c:v>
                </c:pt>
                <c:pt idx="561">
                  <c:v>629.68936467703281</c:v>
                </c:pt>
                <c:pt idx="562">
                  <c:v>632.57410216788821</c:v>
                </c:pt>
                <c:pt idx="563">
                  <c:v>635.45560434259869</c:v>
                </c:pt>
                <c:pt idx="564">
                  <c:v>638.33382211403523</c:v>
                </c:pt>
                <c:pt idx="565">
                  <c:v>641.20870567989766</c:v>
                </c:pt>
                <c:pt idx="566">
                  <c:v>644.08020457710563</c:v>
                </c:pt>
                <c:pt idx="567">
                  <c:v>646.94826773378486</c:v>
                </c:pt>
                <c:pt idx="568">
                  <c:v>649.81284351892305</c:v>
                </c:pt>
                <c:pt idx="569">
                  <c:v>652.67387978977877</c:v>
                </c:pt>
                <c:pt idx="570">
                  <c:v>655.53132393712917</c:v>
                </c:pt>
                <c:pt idx="571">
                  <c:v>658.38512292844428</c:v>
                </c:pt>
                <c:pt idx="572">
                  <c:v>661.23522334907807</c:v>
                </c:pt>
                <c:pt idx="573">
                  <c:v>664.08157144156553</c:v>
                </c:pt>
                <c:pt idx="574">
                  <c:v>666.92411314311369</c:v>
                </c:pt>
                <c:pt idx="575">
                  <c:v>669.76279412137387</c:v>
                </c:pt>
                <c:pt idx="576">
                  <c:v>672.5975598085796</c:v>
                </c:pt>
                <c:pt idx="577">
                  <c:v>675.42835543413207</c:v>
                </c:pt>
                <c:pt idx="578">
                  <c:v>678.25512605571214</c:v>
                </c:pt>
                <c:pt idx="579">
                  <c:v>681.07781658899489</c:v>
                </c:pt>
                <c:pt idx="580">
                  <c:v>683.89637183603941</c:v>
                </c:pt>
                <c:pt idx="581">
                  <c:v>686.71073651242273</c:v>
                </c:pt>
                <c:pt idx="582">
                  <c:v>689.52085527318434</c:v>
                </c:pt>
                <c:pt idx="583">
                  <c:v>692.32667273764389</c:v>
                </c:pt>
                <c:pt idx="584">
                  <c:v>695.12813351315071</c:v>
                </c:pt>
                <c:pt idx="585">
                  <c:v>697.92518221782245</c:v>
                </c:pt>
                <c:pt idx="586">
                  <c:v>700.71776350232437</c:v>
                </c:pt>
                <c:pt idx="587">
                  <c:v>703.50582207074081</c:v>
                </c:pt>
                <c:pt idx="588">
                  <c:v>706.28930270058481</c:v>
                </c:pt>
                <c:pt idx="589">
                  <c:v>709.06815026199104</c:v>
                </c:pt>
                <c:pt idx="590">
                  <c:v>711.84230973613296</c:v>
                </c:pt>
                <c:pt idx="591">
                  <c:v>714.61172623290463</c:v>
                </c:pt>
                <c:pt idx="592">
                  <c:v>717.37634500790296</c:v>
                </c:pt>
                <c:pt idx="593">
                  <c:v>720.13611147874542</c:v>
                </c:pt>
                <c:pt idx="594">
                  <c:v>722.89097124075624</c:v>
                </c:pt>
                <c:pt idx="595">
                  <c:v>725.64087008205081</c:v>
                </c:pt>
                <c:pt idx="596">
                  <c:v>728.38575399804745</c:v>
                </c:pt>
                <c:pt idx="597">
                  <c:v>731.12556920543341</c:v>
                </c:pt>
                <c:pt idx="598">
                  <c:v>733.86026215561026</c:v>
                </c:pt>
                <c:pt idx="599">
                  <c:v>736.58977954764237</c:v>
                </c:pt>
                <c:pt idx="600">
                  <c:v>739.31406834073061</c:v>
                </c:pt>
                <c:pt idx="601">
                  <c:v>742.03307576623251</c:v>
                </c:pt>
                <c:pt idx="602">
                  <c:v>744.7467493392478</c:v>
                </c:pt>
                <c:pt idx="603">
                  <c:v>747.45503686978827</c:v>
                </c:pt>
                <c:pt idx="604">
                  <c:v>750.1578864735493</c:v>
                </c:pt>
                <c:pt idx="605">
                  <c:v>752.85524658229861</c:v>
                </c:pt>
                <c:pt idx="606">
                  <c:v>755.54706595389769</c:v>
                </c:pt>
                <c:pt idx="607">
                  <c:v>758.23329368197119</c:v>
                </c:pt>
                <c:pt idx="608">
                  <c:v>760.91387920523619</c:v>
                </c:pt>
                <c:pt idx="609">
                  <c:v>763.58877231650479</c:v>
                </c:pt>
                <c:pt idx="610">
                  <c:v>766.25792317137234</c:v>
                </c:pt>
                <c:pt idx="611">
                  <c:v>768.92128229660148</c:v>
                </c:pt>
                <c:pt idx="612">
                  <c:v>771.57880059821343</c:v>
                </c:pt>
                <c:pt idx="613">
                  <c:v>774.23042936929642</c:v>
                </c:pt>
                <c:pt idx="614">
                  <c:v>776.87612029753961</c:v>
                </c:pt>
                <c:pt idx="615">
                  <c:v>779.51582547250291</c:v>
                </c:pt>
                <c:pt idx="616">
                  <c:v>782.14949739262954</c:v>
                </c:pt>
                <c:pt idx="617">
                  <c:v>784.77708897201046</c:v>
                </c:pt>
                <c:pt idx="618">
                  <c:v>787.39855354690758</c:v>
                </c:pt>
                <c:pt idx="619">
                  <c:v>790.01384488204212</c:v>
                </c:pt>
                <c:pt idx="620">
                  <c:v>792.62291717665619</c:v>
                </c:pt>
                <c:pt idx="621">
                  <c:v>795.22572507035272</c:v>
                </c:pt>
                <c:pt idx="622">
                  <c:v>797.82222364872052</c:v>
                </c:pt>
                <c:pt idx="623">
                  <c:v>800.41236844874913</c:v>
                </c:pt>
                <c:pt idx="624">
                  <c:v>802.99611546404037</c:v>
                </c:pt>
                <c:pt idx="625">
                  <c:v>805.57342114982009</c:v>
                </c:pt>
                <c:pt idx="626">
                  <c:v>808.14424242775601</c:v>
                </c:pt>
                <c:pt idx="627">
                  <c:v>810.70853669058613</c:v>
                </c:pt>
                <c:pt idx="628">
                  <c:v>813.2662618065616</c:v>
                </c:pt>
                <c:pt idx="629">
                  <c:v>815.8173761237091</c:v>
                </c:pt>
                <c:pt idx="630">
                  <c:v>818.36183847391567</c:v>
                </c:pt>
                <c:pt idx="631">
                  <c:v>820.89960817684118</c:v>
                </c:pt>
                <c:pt idx="632">
                  <c:v>823.43064504366043</c:v>
                </c:pt>
                <c:pt idx="633">
                  <c:v>825.9549093806404</c:v>
                </c:pt>
                <c:pt idx="634">
                  <c:v>828.47236199255372</c:v>
                </c:pt>
                <c:pt idx="635">
                  <c:v>830.98296418593395</c:v>
                </c:pt>
                <c:pt idx="636">
                  <c:v>833.48667777217361</c:v>
                </c:pt>
                <c:pt idx="637">
                  <c:v>835.98346507046961</c:v>
                </c:pt>
                <c:pt idx="638">
                  <c:v>838.47328891061795</c:v>
                </c:pt>
                <c:pt idx="639">
                  <c:v>840.95611263566093</c:v>
                </c:pt>
                <c:pt idx="640">
                  <c:v>843.43190010438923</c:v>
                </c:pt>
                <c:pt idx="641">
                  <c:v>845.90061569370187</c:v>
                </c:pt>
                <c:pt idx="642">
                  <c:v>848.36222430082603</c:v>
                </c:pt>
                <c:pt idx="643">
                  <c:v>850.81669134539936</c:v>
                </c:pt>
                <c:pt idx="644">
                  <c:v>853.26398277141732</c:v>
                </c:pt>
                <c:pt idx="645">
                  <c:v>855.70406504904759</c:v>
                </c:pt>
                <c:pt idx="646">
                  <c:v>858.1369051763138</c:v>
                </c:pt>
                <c:pt idx="647">
                  <c:v>860.56247068065068</c:v>
                </c:pt>
                <c:pt idx="648">
                  <c:v>862.98072962033314</c:v>
                </c:pt>
                <c:pt idx="649">
                  <c:v>865.39165058578021</c:v>
                </c:pt>
                <c:pt idx="650">
                  <c:v>867.79520270073738</c:v>
                </c:pt>
                <c:pt idx="651">
                  <c:v>870.19135562333838</c:v>
                </c:pt>
                <c:pt idx="652">
                  <c:v>872.58007954704783</c:v>
                </c:pt>
                <c:pt idx="653">
                  <c:v>874.9613452014878</c:v>
                </c:pt>
                <c:pt idx="654">
                  <c:v>877.33512385314941</c:v>
                </c:pt>
                <c:pt idx="655">
                  <c:v>879.70138730599115</c:v>
                </c:pt>
                <c:pt idx="656">
                  <c:v>882.06010790192636</c:v>
                </c:pt>
                <c:pt idx="657">
                  <c:v>884.41125852120069</c:v>
                </c:pt>
                <c:pt idx="658">
                  <c:v>886.75481258266177</c:v>
                </c:pt>
                <c:pt idx="659">
                  <c:v>889.090744043923</c:v>
                </c:pt>
                <c:pt idx="660">
                  <c:v>891.41902740142257</c:v>
                </c:pt>
                <c:pt idx="661">
                  <c:v>893.73963769037982</c:v>
                </c:pt>
                <c:pt idx="662">
                  <c:v>896.05255048464983</c:v>
                </c:pt>
                <c:pt idx="663">
                  <c:v>898.35774189647896</c:v>
                </c:pt>
                <c:pt idx="664">
                  <c:v>900.65518857616178</c:v>
                </c:pt>
                <c:pt idx="665">
                  <c:v>902.94486771160177</c:v>
                </c:pt>
                <c:pt idx="666">
                  <c:v>905.22675702777656</c:v>
                </c:pt>
                <c:pt idx="667">
                  <c:v>907.50083478611032</c:v>
                </c:pt>
                <c:pt idx="668">
                  <c:v>909.76707978375362</c:v>
                </c:pt>
                <c:pt idx="669">
                  <c:v>912.0254713527728</c:v>
                </c:pt>
                <c:pt idx="670">
                  <c:v>914.27598935925073</c:v>
                </c:pt>
                <c:pt idx="671">
                  <c:v>916.51861420229966</c:v>
                </c:pt>
                <c:pt idx="672">
                  <c:v>918.75332681298812</c:v>
                </c:pt>
                <c:pt idx="673">
                  <c:v>920.98010865318327</c:v>
                </c:pt>
                <c:pt idx="674">
                  <c:v>923.19894171430974</c:v>
                </c:pt>
                <c:pt idx="675">
                  <c:v>925.4098085160274</c:v>
                </c:pt>
                <c:pt idx="676">
                  <c:v>927.61269210482783</c:v>
                </c:pt>
                <c:pt idx="677">
                  <c:v>929.80757605255269</c:v>
                </c:pt>
                <c:pt idx="678">
                  <c:v>931.99444445483402</c:v>
                </c:pt>
                <c:pt idx="679">
                  <c:v>934.17328192945899</c:v>
                </c:pt>
                <c:pt idx="680">
                  <c:v>936.34407361465924</c:v>
                </c:pt>
                <c:pt idx="681">
                  <c:v>938.50680516732723</c:v>
                </c:pt>
                <c:pt idx="682">
                  <c:v>940.66146276116092</c:v>
                </c:pt>
                <c:pt idx="683">
                  <c:v>942.80803308473719</c:v>
                </c:pt>
                <c:pt idx="684">
                  <c:v>944.94650333951654</c:v>
                </c:pt>
                <c:pt idx="685">
                  <c:v>947.07686123777944</c:v>
                </c:pt>
                <c:pt idx="686">
                  <c:v>949.19909500049664</c:v>
                </c:pt>
                <c:pt idx="687">
                  <c:v>951.3131933551341</c:v>
                </c:pt>
                <c:pt idx="688">
                  <c:v>953.41914553339393</c:v>
                </c:pt>
                <c:pt idx="689">
                  <c:v>955.51694126889265</c:v>
                </c:pt>
                <c:pt idx="690">
                  <c:v>957.60657079477892</c:v>
                </c:pt>
                <c:pt idx="691">
                  <c:v>959.68802484129048</c:v>
                </c:pt>
                <c:pt idx="692">
                  <c:v>961.76129463325321</c:v>
                </c:pt>
                <c:pt idx="693">
                  <c:v>963.82637188752278</c:v>
                </c:pt>
                <c:pt idx="694">
                  <c:v>965.88324881036988</c:v>
                </c:pt>
                <c:pt idx="695">
                  <c:v>967.93191809481141</c:v>
                </c:pt>
                <c:pt idx="696">
                  <c:v>969.97237291788781</c:v>
                </c:pt>
                <c:pt idx="697">
                  <c:v>972.00460693788852</c:v>
                </c:pt>
                <c:pt idx="698">
                  <c:v>974.02861429152631</c:v>
                </c:pt>
                <c:pt idx="699">
                  <c:v>976.04438959106255</c:v>
                </c:pt>
                <c:pt idx="700">
                  <c:v>978.05192792138359</c:v>
                </c:pt>
                <c:pt idx="701">
                  <c:v>980.05122483703053</c:v>
                </c:pt>
                <c:pt idx="702">
                  <c:v>982.04227635918267</c:v>
                </c:pt>
                <c:pt idx="703">
                  <c:v>984.02507897259704</c:v>
                </c:pt>
                <c:pt idx="704">
                  <c:v>985.99962962250402</c:v>
                </c:pt>
                <c:pt idx="705">
                  <c:v>987.96592571146118</c:v>
                </c:pt>
                <c:pt idx="706">
                  <c:v>989.92396509616572</c:v>
                </c:pt>
                <c:pt idx="707">
                  <c:v>991.87374608422795</c:v>
                </c:pt>
                <c:pt idx="708">
                  <c:v>993.81526743090592</c:v>
                </c:pt>
                <c:pt idx="709">
                  <c:v>995.74852833580223</c:v>
                </c:pt>
                <c:pt idx="710">
                  <c:v>997.67352843952574</c:v>
                </c:pt>
                <c:pt idx="711">
                  <c:v>999.59026782031742</c:v>
                </c:pt>
                <c:pt idx="712">
                  <c:v>1001.498746990643</c:v>
                </c:pt>
                <c:pt idx="713">
                  <c:v>1003.3989668937528</c:v>
                </c:pt>
                <c:pt idx="714">
                  <c:v>1005.29092890021</c:v>
                </c:pt>
                <c:pt idx="715">
                  <c:v>1007.1746348043889</c:v>
                </c:pt>
                <c:pt idx="716">
                  <c:v>1009.0500868209435</c:v>
                </c:pt>
                <c:pt idx="717">
                  <c:v>1009.0500868209435</c:v>
                </c:pt>
                <c:pt idx="718">
                  <c:v>1009.0500868209435</c:v>
                </c:pt>
                <c:pt idx="719">
                  <c:v>1009.0500868209435</c:v>
                </c:pt>
                <c:pt idx="720">
                  <c:v>1009.0500868209435</c:v>
                </c:pt>
                <c:pt idx="721">
                  <c:v>1009.0500868209435</c:v>
                </c:pt>
                <c:pt idx="722">
                  <c:v>1009.0500868209435</c:v>
                </c:pt>
                <c:pt idx="723">
                  <c:v>1009.0500868209435</c:v>
                </c:pt>
                <c:pt idx="724">
                  <c:v>1009.0500868209435</c:v>
                </c:pt>
                <c:pt idx="725">
                  <c:v>1009.0500868209435</c:v>
                </c:pt>
                <c:pt idx="726">
                  <c:v>1009.0500868209435</c:v>
                </c:pt>
                <c:pt idx="727">
                  <c:v>1009.0500868209435</c:v>
                </c:pt>
                <c:pt idx="728">
                  <c:v>1009.0500868209435</c:v>
                </c:pt>
                <c:pt idx="729">
                  <c:v>1009.0500868209435</c:v>
                </c:pt>
                <c:pt idx="730">
                  <c:v>1009.0500868209435</c:v>
                </c:pt>
                <c:pt idx="731">
                  <c:v>1009.0500868209435</c:v>
                </c:pt>
                <c:pt idx="732">
                  <c:v>1009.0500868209435</c:v>
                </c:pt>
                <c:pt idx="733">
                  <c:v>1009.0500868209435</c:v>
                </c:pt>
                <c:pt idx="734">
                  <c:v>1009.0500868209435</c:v>
                </c:pt>
                <c:pt idx="735">
                  <c:v>1009.0500868209435</c:v>
                </c:pt>
                <c:pt idx="736">
                  <c:v>1009.0500868209435</c:v>
                </c:pt>
                <c:pt idx="737">
                  <c:v>1009.0500868209435</c:v>
                </c:pt>
                <c:pt idx="738">
                  <c:v>1009.0500868209435</c:v>
                </c:pt>
                <c:pt idx="739">
                  <c:v>1009.0500868209435</c:v>
                </c:pt>
                <c:pt idx="740">
                  <c:v>1009.0500868209435</c:v>
                </c:pt>
                <c:pt idx="741">
                  <c:v>1009.0500868209435</c:v>
                </c:pt>
                <c:pt idx="742">
                  <c:v>1009.0500868209435</c:v>
                </c:pt>
                <c:pt idx="743">
                  <c:v>1009.0500868209435</c:v>
                </c:pt>
                <c:pt idx="744">
                  <c:v>1009.0500868209435</c:v>
                </c:pt>
                <c:pt idx="745">
                  <c:v>1009.0500868209435</c:v>
                </c:pt>
                <c:pt idx="746">
                  <c:v>1009.0500868209435</c:v>
                </c:pt>
                <c:pt idx="747">
                  <c:v>1009.0500868209435</c:v>
                </c:pt>
                <c:pt idx="748">
                  <c:v>1009.0500868209435</c:v>
                </c:pt>
                <c:pt idx="749">
                  <c:v>1009.0500868209435</c:v>
                </c:pt>
                <c:pt idx="750">
                  <c:v>1009.0500868209435</c:v>
                </c:pt>
                <c:pt idx="751">
                  <c:v>1009.0500868209435</c:v>
                </c:pt>
                <c:pt idx="752">
                  <c:v>1009.0500868209435</c:v>
                </c:pt>
                <c:pt idx="753">
                  <c:v>1009.0500868209435</c:v>
                </c:pt>
                <c:pt idx="754">
                  <c:v>1009.0500868209435</c:v>
                </c:pt>
                <c:pt idx="755">
                  <c:v>1009.0500868209435</c:v>
                </c:pt>
                <c:pt idx="756">
                  <c:v>1009.0500868209435</c:v>
                </c:pt>
                <c:pt idx="757">
                  <c:v>1009.0500868209435</c:v>
                </c:pt>
                <c:pt idx="758">
                  <c:v>1009.0500868209435</c:v>
                </c:pt>
                <c:pt idx="759">
                  <c:v>1009.0500868209435</c:v>
                </c:pt>
                <c:pt idx="760">
                  <c:v>1009.0500868209435</c:v>
                </c:pt>
                <c:pt idx="761">
                  <c:v>1009.0500868209435</c:v>
                </c:pt>
                <c:pt idx="762">
                  <c:v>1009.0500868209435</c:v>
                </c:pt>
                <c:pt idx="763">
                  <c:v>1009.0500868209435</c:v>
                </c:pt>
                <c:pt idx="764">
                  <c:v>1009.0500868209435</c:v>
                </c:pt>
                <c:pt idx="765">
                  <c:v>1009.0500868209435</c:v>
                </c:pt>
                <c:pt idx="766">
                  <c:v>1009.0500868209435</c:v>
                </c:pt>
                <c:pt idx="767">
                  <c:v>1009.0500868209435</c:v>
                </c:pt>
                <c:pt idx="768">
                  <c:v>1009.0500868209435</c:v>
                </c:pt>
                <c:pt idx="769">
                  <c:v>1009.0500868209435</c:v>
                </c:pt>
                <c:pt idx="770">
                  <c:v>1009.0500868209435</c:v>
                </c:pt>
                <c:pt idx="771">
                  <c:v>1009.0500868209435</c:v>
                </c:pt>
                <c:pt idx="772">
                  <c:v>1009.0500868209435</c:v>
                </c:pt>
                <c:pt idx="773">
                  <c:v>1009.0500868209435</c:v>
                </c:pt>
                <c:pt idx="774">
                  <c:v>1009.0500868209435</c:v>
                </c:pt>
                <c:pt idx="775">
                  <c:v>1009.0500868209435</c:v>
                </c:pt>
                <c:pt idx="776">
                  <c:v>1009.0500868209435</c:v>
                </c:pt>
                <c:pt idx="777">
                  <c:v>1009.0500868209435</c:v>
                </c:pt>
                <c:pt idx="778">
                  <c:v>1009.0500868209435</c:v>
                </c:pt>
                <c:pt idx="779">
                  <c:v>1009.0500868209435</c:v>
                </c:pt>
                <c:pt idx="780">
                  <c:v>1009.0500868209435</c:v>
                </c:pt>
                <c:pt idx="781">
                  <c:v>1009.0500868209435</c:v>
                </c:pt>
                <c:pt idx="782">
                  <c:v>1009.0500868209435</c:v>
                </c:pt>
                <c:pt idx="783">
                  <c:v>1009.0500868209435</c:v>
                </c:pt>
                <c:pt idx="784">
                  <c:v>1009.0500868209435</c:v>
                </c:pt>
                <c:pt idx="785">
                  <c:v>1009.0500868209435</c:v>
                </c:pt>
                <c:pt idx="786">
                  <c:v>1009.0500868209435</c:v>
                </c:pt>
                <c:pt idx="787">
                  <c:v>1009.0500868209435</c:v>
                </c:pt>
                <c:pt idx="788">
                  <c:v>1009.0500868209435</c:v>
                </c:pt>
                <c:pt idx="789">
                  <c:v>1009.0500868209435</c:v>
                </c:pt>
                <c:pt idx="790">
                  <c:v>1009.0500868209435</c:v>
                </c:pt>
                <c:pt idx="791">
                  <c:v>1009.0500868209435</c:v>
                </c:pt>
                <c:pt idx="792">
                  <c:v>1009.0500868209435</c:v>
                </c:pt>
                <c:pt idx="793">
                  <c:v>1009.0500868209435</c:v>
                </c:pt>
                <c:pt idx="794">
                  <c:v>1009.0500868209435</c:v>
                </c:pt>
                <c:pt idx="795">
                  <c:v>1009.0500868209435</c:v>
                </c:pt>
                <c:pt idx="796">
                  <c:v>1009.0500868209435</c:v>
                </c:pt>
                <c:pt idx="797">
                  <c:v>1009.0500868209435</c:v>
                </c:pt>
                <c:pt idx="798">
                  <c:v>1009.0500868209435</c:v>
                </c:pt>
                <c:pt idx="799">
                  <c:v>1009.0500868209435</c:v>
                </c:pt>
                <c:pt idx="800">
                  <c:v>1009.0500868209435</c:v>
                </c:pt>
                <c:pt idx="801">
                  <c:v>1009.0500868209435</c:v>
                </c:pt>
                <c:pt idx="802">
                  <c:v>1009.0500868209435</c:v>
                </c:pt>
                <c:pt idx="803">
                  <c:v>1009.0500868209435</c:v>
                </c:pt>
                <c:pt idx="804">
                  <c:v>1009.0500868209435</c:v>
                </c:pt>
                <c:pt idx="805">
                  <c:v>1009.0500868209435</c:v>
                </c:pt>
                <c:pt idx="806">
                  <c:v>1009.0500868209435</c:v>
                </c:pt>
                <c:pt idx="807">
                  <c:v>1009.0500868209435</c:v>
                </c:pt>
                <c:pt idx="808">
                  <c:v>1009.0500868209435</c:v>
                </c:pt>
                <c:pt idx="809">
                  <c:v>1009.0500868209435</c:v>
                </c:pt>
                <c:pt idx="810">
                  <c:v>1009.0500868209435</c:v>
                </c:pt>
                <c:pt idx="811">
                  <c:v>1009.0500868209435</c:v>
                </c:pt>
                <c:pt idx="812">
                  <c:v>1009.0500868209435</c:v>
                </c:pt>
                <c:pt idx="813">
                  <c:v>1009.0500868209435</c:v>
                </c:pt>
                <c:pt idx="814">
                  <c:v>1009.0500868209435</c:v>
                </c:pt>
                <c:pt idx="815">
                  <c:v>1009.0500868209435</c:v>
                </c:pt>
                <c:pt idx="816">
                  <c:v>1009.0500868209435</c:v>
                </c:pt>
                <c:pt idx="817">
                  <c:v>1009.0500868209435</c:v>
                </c:pt>
                <c:pt idx="818">
                  <c:v>1009.0500868209435</c:v>
                </c:pt>
                <c:pt idx="819">
                  <c:v>1009.0500868209435</c:v>
                </c:pt>
                <c:pt idx="820">
                  <c:v>1009.0500868209435</c:v>
                </c:pt>
                <c:pt idx="821">
                  <c:v>1009.0500868209435</c:v>
                </c:pt>
                <c:pt idx="822">
                  <c:v>1009.0500868209435</c:v>
                </c:pt>
                <c:pt idx="823">
                  <c:v>1009.0500868209435</c:v>
                </c:pt>
                <c:pt idx="824">
                  <c:v>1009.0500868209435</c:v>
                </c:pt>
                <c:pt idx="825">
                  <c:v>1009.0500868209435</c:v>
                </c:pt>
                <c:pt idx="826">
                  <c:v>1009.0500868209435</c:v>
                </c:pt>
                <c:pt idx="827">
                  <c:v>1009.0500868209435</c:v>
                </c:pt>
                <c:pt idx="828">
                  <c:v>1009.0500868209435</c:v>
                </c:pt>
                <c:pt idx="829">
                  <c:v>1009.0500868209435</c:v>
                </c:pt>
                <c:pt idx="830">
                  <c:v>1009.0500868209435</c:v>
                </c:pt>
                <c:pt idx="831">
                  <c:v>1009.0500868209435</c:v>
                </c:pt>
                <c:pt idx="832">
                  <c:v>1009.0500868209435</c:v>
                </c:pt>
                <c:pt idx="833">
                  <c:v>1009.0500868209435</c:v>
                </c:pt>
                <c:pt idx="834">
                  <c:v>1009.0500868209435</c:v>
                </c:pt>
                <c:pt idx="835">
                  <c:v>1009.0500868209435</c:v>
                </c:pt>
                <c:pt idx="836">
                  <c:v>1009.0500868209435</c:v>
                </c:pt>
                <c:pt idx="837">
                  <c:v>1009.0500868209435</c:v>
                </c:pt>
                <c:pt idx="838">
                  <c:v>1009.0500868209435</c:v>
                </c:pt>
                <c:pt idx="839">
                  <c:v>1009.0500868209435</c:v>
                </c:pt>
                <c:pt idx="840">
                  <c:v>1009.0500868209435</c:v>
                </c:pt>
                <c:pt idx="841">
                  <c:v>1009.0500868209435</c:v>
                </c:pt>
                <c:pt idx="842">
                  <c:v>1009.0500868209435</c:v>
                </c:pt>
                <c:pt idx="843">
                  <c:v>1009.0500868209435</c:v>
                </c:pt>
                <c:pt idx="844">
                  <c:v>1009.0500868209435</c:v>
                </c:pt>
                <c:pt idx="845">
                  <c:v>1009.0500868209435</c:v>
                </c:pt>
                <c:pt idx="846">
                  <c:v>1009.0500868209435</c:v>
                </c:pt>
                <c:pt idx="847">
                  <c:v>1009.0500868209435</c:v>
                </c:pt>
                <c:pt idx="848">
                  <c:v>1009.0500868209435</c:v>
                </c:pt>
                <c:pt idx="849">
                  <c:v>1009.0500868209435</c:v>
                </c:pt>
                <c:pt idx="850">
                  <c:v>1009.0500868209435</c:v>
                </c:pt>
                <c:pt idx="851">
                  <c:v>1009.0500868209435</c:v>
                </c:pt>
                <c:pt idx="852">
                  <c:v>1009.0500868209435</c:v>
                </c:pt>
                <c:pt idx="853">
                  <c:v>1009.0500868209435</c:v>
                </c:pt>
                <c:pt idx="854">
                  <c:v>1009.0500868209435</c:v>
                </c:pt>
                <c:pt idx="855">
                  <c:v>1009.0500868209435</c:v>
                </c:pt>
                <c:pt idx="856">
                  <c:v>1009.0500868209435</c:v>
                </c:pt>
                <c:pt idx="857">
                  <c:v>1009.0500868209435</c:v>
                </c:pt>
                <c:pt idx="858">
                  <c:v>1009.0500868209435</c:v>
                </c:pt>
                <c:pt idx="859">
                  <c:v>1009.0500868209435</c:v>
                </c:pt>
                <c:pt idx="860">
                  <c:v>1009.0500868209435</c:v>
                </c:pt>
                <c:pt idx="861">
                  <c:v>1009.0500868209435</c:v>
                </c:pt>
                <c:pt idx="862">
                  <c:v>1009.0500868209435</c:v>
                </c:pt>
                <c:pt idx="863">
                  <c:v>1009.0500868209435</c:v>
                </c:pt>
                <c:pt idx="864">
                  <c:v>1009.0500868209435</c:v>
                </c:pt>
                <c:pt idx="865">
                  <c:v>1009.0500868209435</c:v>
                </c:pt>
                <c:pt idx="866">
                  <c:v>1009.0500868209435</c:v>
                </c:pt>
                <c:pt idx="867">
                  <c:v>1009.0500868209435</c:v>
                </c:pt>
                <c:pt idx="868">
                  <c:v>1009.0500868209435</c:v>
                </c:pt>
                <c:pt idx="869">
                  <c:v>1009.0500868209435</c:v>
                </c:pt>
                <c:pt idx="870">
                  <c:v>1009.0500868209435</c:v>
                </c:pt>
                <c:pt idx="871">
                  <c:v>1009.0500868209435</c:v>
                </c:pt>
                <c:pt idx="872">
                  <c:v>1009.0500868209435</c:v>
                </c:pt>
                <c:pt idx="873">
                  <c:v>1009.0500868209435</c:v>
                </c:pt>
                <c:pt idx="874">
                  <c:v>1009.0500868209435</c:v>
                </c:pt>
                <c:pt idx="875">
                  <c:v>1009.0500868209435</c:v>
                </c:pt>
                <c:pt idx="876">
                  <c:v>1009.0500868209435</c:v>
                </c:pt>
                <c:pt idx="877">
                  <c:v>1009.0500868209435</c:v>
                </c:pt>
                <c:pt idx="878">
                  <c:v>1009.0500868209435</c:v>
                </c:pt>
                <c:pt idx="879">
                  <c:v>1009.0500868209435</c:v>
                </c:pt>
                <c:pt idx="880">
                  <c:v>1009.0500868209435</c:v>
                </c:pt>
                <c:pt idx="881">
                  <c:v>1009.0500868209435</c:v>
                </c:pt>
                <c:pt idx="882">
                  <c:v>1009.0500868209435</c:v>
                </c:pt>
                <c:pt idx="883">
                  <c:v>1009.0500868209435</c:v>
                </c:pt>
                <c:pt idx="884">
                  <c:v>1009.0500868209435</c:v>
                </c:pt>
                <c:pt idx="885">
                  <c:v>1009.0500868209435</c:v>
                </c:pt>
                <c:pt idx="886">
                  <c:v>1009.0500868209435</c:v>
                </c:pt>
                <c:pt idx="887">
                  <c:v>1009.0500868209435</c:v>
                </c:pt>
                <c:pt idx="888">
                  <c:v>1009.0500868209435</c:v>
                </c:pt>
                <c:pt idx="889">
                  <c:v>1009.0500868209435</c:v>
                </c:pt>
                <c:pt idx="890">
                  <c:v>1009.0500868209435</c:v>
                </c:pt>
                <c:pt idx="891">
                  <c:v>1009.0500868209435</c:v>
                </c:pt>
                <c:pt idx="892">
                  <c:v>1009.0500868209435</c:v>
                </c:pt>
                <c:pt idx="893">
                  <c:v>1009.0500868209435</c:v>
                </c:pt>
                <c:pt idx="894">
                  <c:v>1009.0500868209435</c:v>
                </c:pt>
                <c:pt idx="895">
                  <c:v>1009.0500868209435</c:v>
                </c:pt>
                <c:pt idx="896">
                  <c:v>1009.0500868209435</c:v>
                </c:pt>
                <c:pt idx="897">
                  <c:v>1009.0500868209435</c:v>
                </c:pt>
                <c:pt idx="898">
                  <c:v>1009.0500868209435</c:v>
                </c:pt>
                <c:pt idx="899">
                  <c:v>1009.0500868209435</c:v>
                </c:pt>
                <c:pt idx="900">
                  <c:v>1009.0500868209435</c:v>
                </c:pt>
                <c:pt idx="901">
                  <c:v>1009.0500868209435</c:v>
                </c:pt>
                <c:pt idx="902">
                  <c:v>1009.0500868209435</c:v>
                </c:pt>
                <c:pt idx="903">
                  <c:v>1009.0500868209435</c:v>
                </c:pt>
                <c:pt idx="904">
                  <c:v>1009.0500868209435</c:v>
                </c:pt>
                <c:pt idx="905">
                  <c:v>1009.0500868209435</c:v>
                </c:pt>
                <c:pt idx="906">
                  <c:v>1009.0500868209435</c:v>
                </c:pt>
                <c:pt idx="907">
                  <c:v>1009.0500868209435</c:v>
                </c:pt>
                <c:pt idx="908">
                  <c:v>1009.0500868209435</c:v>
                </c:pt>
                <c:pt idx="909">
                  <c:v>1009.0500868209435</c:v>
                </c:pt>
                <c:pt idx="910">
                  <c:v>1009.0500868209435</c:v>
                </c:pt>
                <c:pt idx="911">
                  <c:v>1009.0500868209435</c:v>
                </c:pt>
                <c:pt idx="912">
                  <c:v>1009.0500868209435</c:v>
                </c:pt>
                <c:pt idx="913">
                  <c:v>1009.0500868209435</c:v>
                </c:pt>
                <c:pt idx="914">
                  <c:v>1009.0500868209435</c:v>
                </c:pt>
                <c:pt idx="915">
                  <c:v>1009.0500868209435</c:v>
                </c:pt>
                <c:pt idx="916">
                  <c:v>1009.0500868209435</c:v>
                </c:pt>
                <c:pt idx="917">
                  <c:v>1009.0500868209435</c:v>
                </c:pt>
                <c:pt idx="918">
                  <c:v>1009.0500868209435</c:v>
                </c:pt>
                <c:pt idx="919">
                  <c:v>1009.0500868209435</c:v>
                </c:pt>
                <c:pt idx="920">
                  <c:v>1009.0500868209435</c:v>
                </c:pt>
                <c:pt idx="921">
                  <c:v>1009.0500868209435</c:v>
                </c:pt>
                <c:pt idx="922">
                  <c:v>1009.0500868209435</c:v>
                </c:pt>
                <c:pt idx="923">
                  <c:v>1009.0500868209435</c:v>
                </c:pt>
                <c:pt idx="924">
                  <c:v>1009.0500868209435</c:v>
                </c:pt>
                <c:pt idx="925">
                  <c:v>1009.0500868209435</c:v>
                </c:pt>
                <c:pt idx="926">
                  <c:v>1009.0500868209435</c:v>
                </c:pt>
                <c:pt idx="927">
                  <c:v>1009.0500868209435</c:v>
                </c:pt>
                <c:pt idx="928">
                  <c:v>1009.0500868209435</c:v>
                </c:pt>
                <c:pt idx="929">
                  <c:v>1009.0500868209435</c:v>
                </c:pt>
                <c:pt idx="930">
                  <c:v>1009.0500868209435</c:v>
                </c:pt>
                <c:pt idx="931">
                  <c:v>1009.0500868209435</c:v>
                </c:pt>
                <c:pt idx="932">
                  <c:v>1009.0500868209435</c:v>
                </c:pt>
                <c:pt idx="933">
                  <c:v>1009.0500868209435</c:v>
                </c:pt>
                <c:pt idx="934">
                  <c:v>1009.0500868209435</c:v>
                </c:pt>
                <c:pt idx="935">
                  <c:v>1009.0500868209435</c:v>
                </c:pt>
                <c:pt idx="936">
                  <c:v>1009.0500868209435</c:v>
                </c:pt>
                <c:pt idx="937">
                  <c:v>1009.0500868209435</c:v>
                </c:pt>
                <c:pt idx="938">
                  <c:v>1009.0500868209435</c:v>
                </c:pt>
                <c:pt idx="939">
                  <c:v>1009.0500868209435</c:v>
                </c:pt>
                <c:pt idx="940">
                  <c:v>1009.0500868209435</c:v>
                </c:pt>
                <c:pt idx="941">
                  <c:v>1009.0500868209435</c:v>
                </c:pt>
                <c:pt idx="942">
                  <c:v>1009.0500868209435</c:v>
                </c:pt>
                <c:pt idx="943">
                  <c:v>1009.0500868209435</c:v>
                </c:pt>
                <c:pt idx="944">
                  <c:v>1009.0500868209435</c:v>
                </c:pt>
                <c:pt idx="945">
                  <c:v>1009.0500868209435</c:v>
                </c:pt>
                <c:pt idx="946">
                  <c:v>1009.0500868209435</c:v>
                </c:pt>
                <c:pt idx="947">
                  <c:v>1009.0500868209435</c:v>
                </c:pt>
                <c:pt idx="948">
                  <c:v>1009.0500868209435</c:v>
                </c:pt>
                <c:pt idx="949">
                  <c:v>1009.0500868209435</c:v>
                </c:pt>
                <c:pt idx="950">
                  <c:v>1009.0500868209435</c:v>
                </c:pt>
                <c:pt idx="951">
                  <c:v>1009.0500868209435</c:v>
                </c:pt>
                <c:pt idx="952">
                  <c:v>1009.0500868209435</c:v>
                </c:pt>
                <c:pt idx="953">
                  <c:v>1009.0500868209435</c:v>
                </c:pt>
                <c:pt idx="954">
                  <c:v>1009.0500868209435</c:v>
                </c:pt>
                <c:pt idx="955">
                  <c:v>1009.0500868209435</c:v>
                </c:pt>
                <c:pt idx="956">
                  <c:v>1009.0500868209435</c:v>
                </c:pt>
                <c:pt idx="957">
                  <c:v>1009.0500868209435</c:v>
                </c:pt>
                <c:pt idx="958">
                  <c:v>1009.0500868209435</c:v>
                </c:pt>
                <c:pt idx="959">
                  <c:v>1009.0500868209435</c:v>
                </c:pt>
                <c:pt idx="960">
                  <c:v>1009.0500868209435</c:v>
                </c:pt>
                <c:pt idx="961">
                  <c:v>1009.0500868209435</c:v>
                </c:pt>
                <c:pt idx="962">
                  <c:v>1009.0500868209435</c:v>
                </c:pt>
                <c:pt idx="963">
                  <c:v>1009.0500868209435</c:v>
                </c:pt>
                <c:pt idx="964">
                  <c:v>1009.0500868209435</c:v>
                </c:pt>
                <c:pt idx="965">
                  <c:v>1009.0500868209435</c:v>
                </c:pt>
                <c:pt idx="966">
                  <c:v>1009.0500868209435</c:v>
                </c:pt>
                <c:pt idx="967">
                  <c:v>1009.0500868209435</c:v>
                </c:pt>
                <c:pt idx="968">
                  <c:v>1009.0500868209435</c:v>
                </c:pt>
                <c:pt idx="969">
                  <c:v>1009.0500868209435</c:v>
                </c:pt>
                <c:pt idx="970">
                  <c:v>1009.0500868209435</c:v>
                </c:pt>
                <c:pt idx="971">
                  <c:v>1009.0500868209435</c:v>
                </c:pt>
                <c:pt idx="972">
                  <c:v>1009.0500868209435</c:v>
                </c:pt>
                <c:pt idx="973">
                  <c:v>1009.0500868209435</c:v>
                </c:pt>
                <c:pt idx="974">
                  <c:v>1009.0500868209435</c:v>
                </c:pt>
                <c:pt idx="975">
                  <c:v>1009.0500868209435</c:v>
                </c:pt>
                <c:pt idx="976">
                  <c:v>1009.0500868209435</c:v>
                </c:pt>
                <c:pt idx="977">
                  <c:v>1009.0500868209435</c:v>
                </c:pt>
                <c:pt idx="978">
                  <c:v>1009.0500868209435</c:v>
                </c:pt>
                <c:pt idx="979">
                  <c:v>1009.0500868209435</c:v>
                </c:pt>
                <c:pt idx="980">
                  <c:v>1009.0500868209435</c:v>
                </c:pt>
                <c:pt idx="981">
                  <c:v>1009.0500868209435</c:v>
                </c:pt>
                <c:pt idx="982">
                  <c:v>1009.0500868209435</c:v>
                </c:pt>
                <c:pt idx="983">
                  <c:v>1009.0500868209435</c:v>
                </c:pt>
                <c:pt idx="984">
                  <c:v>1009.0500868209435</c:v>
                </c:pt>
                <c:pt idx="985">
                  <c:v>1009.0500868209435</c:v>
                </c:pt>
                <c:pt idx="986">
                  <c:v>1009.0500868209435</c:v>
                </c:pt>
                <c:pt idx="987">
                  <c:v>1009.0500868209435</c:v>
                </c:pt>
                <c:pt idx="988">
                  <c:v>1009.0500868209435</c:v>
                </c:pt>
                <c:pt idx="989">
                  <c:v>1009.0500868209435</c:v>
                </c:pt>
                <c:pt idx="990">
                  <c:v>1009.0500868209435</c:v>
                </c:pt>
                <c:pt idx="991">
                  <c:v>1009.0500868209435</c:v>
                </c:pt>
                <c:pt idx="992">
                  <c:v>1009.0500868209435</c:v>
                </c:pt>
                <c:pt idx="993">
                  <c:v>1009.0500868209435</c:v>
                </c:pt>
                <c:pt idx="994">
                  <c:v>1009.0500868209435</c:v>
                </c:pt>
                <c:pt idx="995">
                  <c:v>1009.0500868209435</c:v>
                </c:pt>
                <c:pt idx="996">
                  <c:v>1009.0500868209435</c:v>
                </c:pt>
                <c:pt idx="997">
                  <c:v>1009.0500868209435</c:v>
                </c:pt>
                <c:pt idx="998">
                  <c:v>1009.0500868209435</c:v>
                </c:pt>
                <c:pt idx="999">
                  <c:v>1009.0500868209435</c:v>
                </c:pt>
                <c:pt idx="1000">
                  <c:v>1009.0500868209435</c:v>
                </c:pt>
              </c:numCache>
            </c:numRef>
          </c:xVal>
          <c:yVal>
            <c:numRef>
              <c:f>Calculs!$K$4:$K$1004</c:f>
              <c:numCache>
                <c:formatCode>0.00</c:formatCode>
                <c:ptCount val="1001"/>
                <c:pt idx="0">
                  <c:v>0</c:v>
                </c:pt>
                <c:pt idx="1">
                  <c:v>0</c:v>
                </c:pt>
                <c:pt idx="2">
                  <c:v>8.8659929951468331E-4</c:v>
                </c:pt>
                <c:pt idx="3">
                  <c:v>4.4551282218210728E-3</c:v>
                </c:pt>
                <c:pt idx="4">
                  <c:v>1.252376084757101E-2</c:v>
                </c:pt>
                <c:pt idx="5">
                  <c:v>2.6912343102871397E-2</c:v>
                </c:pt>
                <c:pt idx="6">
                  <c:v>4.8982521190609973E-2</c:v>
                </c:pt>
                <c:pt idx="7">
                  <c:v>7.9176829171388755E-2</c:v>
                </c:pt>
                <c:pt idx="8">
                  <c:v>0.11747781638166428</c:v>
                </c:pt>
                <c:pt idx="9">
                  <c:v>0.16386796803219167</c:v>
                </c:pt>
                <c:pt idx="10">
                  <c:v>0.21832970542708824</c:v>
                </c:pt>
                <c:pt idx="11">
                  <c:v>0.28084538618456867</c:v>
                </c:pt>
                <c:pt idx="12">
                  <c:v>0.35139730445933887</c:v>
                </c:pt>
                <c:pt idx="13">
                  <c:v>0.42996769116663514</c:v>
                </c:pt>
                <c:pt idx="14">
                  <c:v>0.51653871420789566</c:v>
                </c:pt>
                <c:pt idx="15">
                  <c:v>0.6110924786980505</c:v>
                </c:pt>
                <c:pt idx="16">
                  <c:v>0.71361102719441705</c:v>
                </c:pt>
                <c:pt idx="17">
                  <c:v>0.82407633992718732</c:v>
                </c:pt>
                <c:pt idx="18">
                  <c:v>0.94247033503149291</c:v>
                </c:pt>
                <c:pt idx="19">
                  <c:v>1.0687748687810346</c:v>
                </c:pt>
                <c:pt idx="20">
                  <c:v>1.2029717358232617</c:v>
                </c:pt>
                <c:pt idx="21">
                  <c:v>1.3450426694160895</c:v>
                </c:pt>
                <c:pt idx="22">
                  <c:v>1.4949693416661369</c:v>
                </c:pt>
                <c:pt idx="23">
                  <c:v>1.6527333637684745</c:v>
                </c:pt>
                <c:pt idx="24">
                  <c:v>1.8183162862478643</c:v>
                </c:pt>
                <c:pt idx="25">
                  <c:v>1.9916995992014821</c:v>
                </c:pt>
                <c:pt idx="26">
                  <c:v>2.1728647325431032</c:v>
                </c:pt>
                <c:pt idx="27">
                  <c:v>2.361793056248739</c:v>
                </c:pt>
                <c:pt idx="28">
                  <c:v>2.5584658806037122</c:v>
                </c:pt>
                <c:pt idx="29">
                  <c:v>2.7628644564511502</c:v>
                </c:pt>
                <c:pt idx="30">
                  <c:v>2.9749699754418892</c:v>
                </c:pt>
                <c:pt idx="31">
                  <c:v>3.1947635702857671</c:v>
                </c:pt>
                <c:pt idx="32">
                  <c:v>3.4222263150042971</c:v>
                </c:pt>
                <c:pt idx="33">
                  <c:v>3.657339225184701</c:v>
                </c:pt>
                <c:pt idx="34">
                  <c:v>3.9000832582352913</c:v>
                </c:pt>
                <c:pt idx="35">
                  <c:v>4.1504393136421855</c:v>
                </c:pt>
                <c:pt idx="36">
                  <c:v>4.408373436395542</c:v>
                </c:pt>
                <c:pt idx="37">
                  <c:v>4.6738511390822293</c:v>
                </c:pt>
                <c:pt idx="38">
                  <c:v>4.9468522042620924</c:v>
                </c:pt>
                <c:pt idx="39">
                  <c:v>5.2273563746255851</c:v>
                </c:pt>
                <c:pt idx="40">
                  <c:v>5.5153433591705081</c:v>
                </c:pt>
                <c:pt idx="41">
                  <c:v>5.8107928324423543</c:v>
                </c:pt>
                <c:pt idx="42">
                  <c:v>6.1136844338504801</c:v>
                </c:pt>
                <c:pt idx="43">
                  <c:v>6.4239977670528514</c:v>
                </c:pt>
                <c:pt idx="44">
                  <c:v>6.7417123994029753</c:v>
                </c:pt>
                <c:pt idx="45">
                  <c:v>7.0668078614533849</c:v>
                </c:pt>
                <c:pt idx="46">
                  <c:v>7.3992636465106711</c:v>
                </c:pt>
                <c:pt idx="47">
                  <c:v>7.7390592102376212</c:v>
                </c:pt>
                <c:pt idx="48">
                  <c:v>8.0861739702985052</c:v>
                </c:pt>
                <c:pt idx="49">
                  <c:v>8.4405873060439625</c:v>
                </c:pt>
                <c:pt idx="50">
                  <c:v>8.8022785582323149</c:v>
                </c:pt>
                <c:pt idx="51">
                  <c:v>9.1712294446431297</c:v>
                </c:pt>
                <c:pt idx="52">
                  <c:v>9.5474264786206469</c:v>
                </c:pt>
                <c:pt idx="53">
                  <c:v>9.9308585571787109</c:v>
                </c:pt>
                <c:pt idx="54">
                  <c:v>10.321514546175811</c:v>
                </c:pt>
                <c:pt idx="55">
                  <c:v>10.719383280064211</c:v>
                </c:pt>
                <c:pt idx="56">
                  <c:v>11.124453561659102</c:v>
                </c:pt>
                <c:pt idx="57">
                  <c:v>11.536714161926477</c:v>
                </c:pt>
                <c:pt idx="58">
                  <c:v>11.956153819788485</c:v>
                </c:pt>
                <c:pt idx="59">
                  <c:v>12.38276124194517</c:v>
                </c:pt>
                <c:pt idx="60">
                  <c:v>12.816525102711584</c:v>
                </c:pt>
                <c:pt idx="61">
                  <c:v>13.25743404386931</c:v>
                </c:pt>
                <c:pt idx="62">
                  <c:v>13.705476674531562</c:v>
                </c:pt>
                <c:pt idx="63">
                  <c:v>14.160641571021051</c:v>
                </c:pt>
                <c:pt idx="64">
                  <c:v>14.622917276759887</c:v>
                </c:pt>
                <c:pt idx="65">
                  <c:v>15.092292302170847</c:v>
                </c:pt>
                <c:pt idx="66">
                  <c:v>15.568755124589369</c:v>
                </c:pt>
                <c:pt idx="67">
                  <c:v>16.052294188185709</c:v>
                </c:pt>
                <c:pt idx="68">
                  <c:v>16.542897903896698</c:v>
                </c:pt>
                <c:pt idx="69">
                  <c:v>17.04055464936663</c:v>
                </c:pt>
                <c:pt idx="70">
                  <c:v>17.545252768896773</c:v>
                </c:pt>
                <c:pt idx="71">
                  <c:v>18.056980573403123</c:v>
                </c:pt>
                <c:pt idx="72">
                  <c:v>18.575726340381934</c:v>
                </c:pt>
                <c:pt idx="73">
                  <c:v>19.101478313882705</c:v>
                </c:pt>
                <c:pt idx="74">
                  <c:v>19.634224704488243</c:v>
                </c:pt>
                <c:pt idx="75">
                  <c:v>20.173953689301449</c:v>
                </c:pt>
                <c:pt idx="76">
                  <c:v>20.720653411938581</c:v>
                </c:pt>
                <c:pt idx="77">
                  <c:v>21.274311982528634</c:v>
                </c:pt>
                <c:pt idx="78">
                  <c:v>21.834917477718612</c:v>
                </c:pt>
                <c:pt idx="79">
                  <c:v>22.402457940684428</c:v>
                </c:pt>
                <c:pt idx="80">
                  <c:v>22.976921381147175</c:v>
                </c:pt>
                <c:pt idx="81">
                  <c:v>23.558295775394551</c:v>
                </c:pt>
                <c:pt idx="82">
                  <c:v>24.146569066307247</c:v>
                </c:pt>
                <c:pt idx="83">
                  <c:v>24.741729163390048</c:v>
                </c:pt>
                <c:pt idx="84">
                  <c:v>25.343763942807509</c:v>
                </c:pt>
                <c:pt idx="85">
                  <c:v>25.952661247424011</c:v>
                </c:pt>
                <c:pt idx="86">
                  <c:v>26.56840888684799</c:v>
                </c:pt>
                <c:pt idx="87">
                  <c:v>27.190994637480255</c:v>
                </c:pt>
                <c:pt idx="88">
                  <c:v>27.820406242566154</c:v>
                </c:pt>
                <c:pt idx="89">
                  <c:v>28.456631412251536</c:v>
                </c:pt>
                <c:pt idx="90">
                  <c:v>29.099657823642289</c:v>
                </c:pt>
                <c:pt idx="91">
                  <c:v>29.749473120867389</c:v>
                </c:pt>
                <c:pt idx="92">
                  <c:v>30.406064915145301</c:v>
                </c:pt>
                <c:pt idx="93">
                  <c:v>31.069420784853619</c:v>
                </c:pt>
                <c:pt idx="94">
                  <c:v>31.739528275601867</c:v>
                </c:pt>
                <c:pt idx="95">
                  <c:v>32.416374900307289</c:v>
                </c:pt>
                <c:pt idx="96">
                  <c:v>33.099948139273614</c:v>
                </c:pt>
                <c:pt idx="97">
                  <c:v>33.790235440272603</c:v>
                </c:pt>
                <c:pt idx="98">
                  <c:v>34.487224218628398</c:v>
                </c:pt>
                <c:pt idx="99">
                  <c:v>35.190901857304453</c:v>
                </c:pt>
                <c:pt idx="100">
                  <c:v>35.901255706993105</c:v>
                </c:pt>
                <c:pt idx="101">
                  <c:v>36.618271977656789</c:v>
                </c:pt>
                <c:pt idx="102">
                  <c:v>37.341934628980148</c:v>
                </c:pt>
                <c:pt idx="103">
                  <c:v>38.072226477618543</c:v>
                </c:pt>
                <c:pt idx="104">
                  <c:v>38.809130305572602</c:v>
                </c:pt>
                <c:pt idx="105">
                  <c:v>39.552628860354062</c:v>
                </c:pt>
                <c:pt idx="106">
                  <c:v>40.302704855153841</c:v>
                </c:pt>
                <c:pt idx="107">
                  <c:v>41.059340969012339</c:v>
                </c:pt>
                <c:pt idx="108">
                  <c:v>41.822519846991852</c:v>
                </c:pt>
                <c:pt idx="109">
                  <c:v>42.592224100351054</c:v>
                </c:pt>
                <c:pt idx="110">
                  <c:v>43.368436306721478</c:v>
                </c:pt>
                <c:pt idx="111">
                  <c:v>44.15113901028591</c:v>
                </c:pt>
                <c:pt idx="112">
                  <c:v>44.94031472195865</c:v>
                </c:pt>
                <c:pt idx="113">
                  <c:v>45.735945919567605</c:v>
                </c:pt>
                <c:pt idx="114">
                  <c:v>46.538015048038091</c:v>
                </c:pt>
                <c:pt idx="115">
                  <c:v>47.346504519578353</c:v>
                </c:pt>
                <c:pt idx="116">
                  <c:v>48.161396713866722</c:v>
                </c:pt>
                <c:pt idx="117">
                  <c:v>48.982673978240364</c:v>
                </c:pt>
                <c:pt idx="118">
                  <c:v>49.810318627885536</c:v>
                </c:pt>
                <c:pt idx="119">
                  <c:v>50.644312946029373</c:v>
                </c:pt>
                <c:pt idx="120">
                  <c:v>51.484639184133087</c:v>
                </c:pt>
                <c:pt idx="121">
                  <c:v>52.331279562086578</c:v>
                </c:pt>
                <c:pt idx="122">
                  <c:v>53.184216268404384</c:v>
                </c:pt>
                <c:pt idx="123">
                  <c:v>54.043431460422944</c:v>
                </c:pt>
                <c:pt idx="124">
                  <c:v>54.908907264499128</c:v>
                </c:pt>
                <c:pt idx="125">
                  <c:v>55.780625776209995</c:v>
                </c:pt>
                <c:pt idx="126">
                  <c:v>56.658569060553738</c:v>
                </c:pt>
                <c:pt idx="127">
                  <c:v>57.54271915215179</c:v>
                </c:pt>
                <c:pt idx="128">
                  <c:v>58.433058055452001</c:v>
                </c:pt>
                <c:pt idx="129">
                  <c:v>59.329567744932952</c:v>
                </c:pt>
                <c:pt idx="130">
                  <c:v>60.232230165309247</c:v>
                </c:pt>
                <c:pt idx="131">
                  <c:v>61.141027231737873</c:v>
                </c:pt>
                <c:pt idx="132">
                  <c:v>62.05594083002547</c:v>
                </c:pt>
                <c:pt idx="133">
                  <c:v>62.976952816836601</c:v>
                </c:pt>
                <c:pt idx="134">
                  <c:v>63.904045019902888</c:v>
                </c:pt>
                <c:pt idx="135">
                  <c:v>64.83719923823304</c:v>
                </c:pt>
                <c:pt idx="136">
                  <c:v>65.776397242323739</c:v>
                </c:pt>
                <c:pt idx="137">
                  <c:v>66.721620774371331</c:v>
                </c:pt>
                <c:pt idx="138">
                  <c:v>67.672851548484317</c:v>
                </c:pt>
                <c:pt idx="139">
                  <c:v>68.630071250896577</c:v>
                </c:pt>
                <c:pt idx="140">
                  <c:v>69.593261540181359</c:v>
                </c:pt>
                <c:pt idx="141">
                  <c:v>70.562404047465989</c:v>
                </c:pt>
                <c:pt idx="142">
                  <c:v>71.53748037664721</c:v>
                </c:pt>
                <c:pt idx="143">
                  <c:v>72.518472104607213</c:v>
                </c:pt>
                <c:pt idx="144">
                  <c:v>73.505360781430269</c:v>
                </c:pt>
                <c:pt idx="145">
                  <c:v>74.498127930620001</c:v>
                </c:pt>
                <c:pt idx="146">
                  <c:v>75.496755049317201</c:v>
                </c:pt>
                <c:pt idx="147">
                  <c:v>76.501223608518259</c:v>
                </c:pt>
                <c:pt idx="148">
                  <c:v>77.511515053294033</c:v>
                </c:pt>
                <c:pt idx="149">
                  <c:v>78.52761080300931</c:v>
                </c:pt>
                <c:pt idx="150">
                  <c:v>79.549492251542716</c:v>
                </c:pt>
                <c:pt idx="151">
                  <c:v>80.577141143215641</c:v>
                </c:pt>
                <c:pt idx="152">
                  <c:v>81.610539948971692</c:v>
                </c:pt>
                <c:pt idx="153">
                  <c:v>82.649671491142087</c:v>
                </c:pt>
                <c:pt idx="154">
                  <c:v>83.694518567950325</c:v>
                </c:pt>
                <c:pt idx="155">
                  <c:v>84.74506395371192</c:v>
                </c:pt>
                <c:pt idx="156">
                  <c:v>85.801290399034514</c:v>
                </c:pt>
                <c:pt idx="157">
                  <c:v>86.863180631018466</c:v>
                </c:pt>
                <c:pt idx="158">
                  <c:v>87.930717353457709</c:v>
                </c:pt>
                <c:pt idx="159">
                  <c:v>89.003883247041045</c:v>
                </c:pt>
                <c:pt idx="160">
                  <c:v>90.082660969553714</c:v>
                </c:pt>
                <c:pt idx="161">
                  <c:v>91.167033156079356</c:v>
                </c:pt>
                <c:pt idx="162">
                  <c:v>92.25698241920216</c:v>
                </c:pt>
                <c:pt idx="163">
                  <c:v>93.352491349209444</c:v>
                </c:pt>
                <c:pt idx="164">
                  <c:v>94.453542514294384</c:v>
                </c:pt>
                <c:pt idx="165">
                  <c:v>95.560118460759085</c:v>
                </c:pt>
                <c:pt idx="166">
                  <c:v>96.672201713217802</c:v>
                </c:pt>
                <c:pt idx="167">
                  <c:v>97.789774774800492</c:v>
                </c:pt>
                <c:pt idx="168">
                  <c:v>98.912820127356468</c:v>
                </c:pt>
                <c:pt idx="169">
                  <c:v>100.04132023165833</c:v>
                </c:pt>
                <c:pt idx="170">
                  <c:v>101.17525752760604</c:v>
                </c:pt>
                <c:pt idx="171">
                  <c:v>102.31461443443112</c:v>
                </c:pt>
                <c:pt idx="172">
                  <c:v>103.45937335090112</c:v>
                </c:pt>
                <c:pt idx="173">
                  <c:v>104.60951665552405</c:v>
                </c:pt>
                <c:pt idx="174">
                  <c:v>105.76502670675308</c:v>
                </c:pt>
                <c:pt idx="175">
                  <c:v>106.92588584319128</c:v>
                </c:pt>
                <c:pt idx="176">
                  <c:v>108.09207638379648</c:v>
                </c:pt>
                <c:pt idx="177">
                  <c:v>109.26358062808617</c:v>
                </c:pt>
                <c:pt idx="178">
                  <c:v>110.44038085634251</c:v>
                </c:pt>
                <c:pt idx="179">
                  <c:v>111.62245932981739</c:v>
                </c:pt>
                <c:pt idx="180">
                  <c:v>112.80979829093748</c:v>
                </c:pt>
                <c:pt idx="181">
                  <c:v>114.00237996350937</c:v>
                </c:pt>
                <c:pt idx="182">
                  <c:v>115.20018655292471</c:v>
                </c:pt>
                <c:pt idx="183">
                  <c:v>116.4032002463653</c:v>
                </c:pt>
                <c:pt idx="184">
                  <c:v>117.61140321300827</c:v>
                </c:pt>
                <c:pt idx="185">
                  <c:v>118.82477760423113</c:v>
                </c:pt>
                <c:pt idx="186">
                  <c:v>120.04330555381686</c:v>
                </c:pt>
                <c:pt idx="187">
                  <c:v>121.26696917815894</c:v>
                </c:pt>
                <c:pt idx="188">
                  <c:v>122.49575057646628</c:v>
                </c:pt>
                <c:pt idx="189">
                  <c:v>123.72963183096813</c:v>
                </c:pt>
                <c:pt idx="190">
                  <c:v>124.96859500711891</c:v>
                </c:pt>
                <c:pt idx="191">
                  <c:v>126.21262215380287</c:v>
                </c:pt>
                <c:pt idx="192">
                  <c:v>127.46169530353878</c:v>
                </c:pt>
                <c:pt idx="193">
                  <c:v>128.71579647268433</c:v>
                </c:pt>
                <c:pt idx="194">
                  <c:v>129.97490766164066</c:v>
                </c:pt>
                <c:pt idx="195">
                  <c:v>131.23901085505636</c:v>
                </c:pt>
                <c:pt idx="196">
                  <c:v>132.50808802203181</c:v>
                </c:pt>
                <c:pt idx="197">
                  <c:v>133.78212111632291</c:v>
                </c:pt>
                <c:pt idx="198">
                  <c:v>135.06109207654495</c:v>
                </c:pt>
                <c:pt idx="199">
                  <c:v>136.34498282637617</c:v>
                </c:pt>
                <c:pt idx="200">
                  <c:v>137.63377527476106</c:v>
                </c:pt>
                <c:pt idx="201">
                  <c:v>138.92745131611372</c:v>
                </c:pt>
                <c:pt idx="202">
                  <c:v>140.22599283052065</c:v>
                </c:pt>
                <c:pt idx="203">
                  <c:v>141.52938168394365</c:v>
                </c:pt>
                <c:pt idx="204">
                  <c:v>142.8375997284223</c:v>
                </c:pt>
                <c:pt idx="205">
                  <c:v>144.1506288022762</c:v>
                </c:pt>
                <c:pt idx="206">
                  <c:v>145.46845073030707</c:v>
                </c:pt>
                <c:pt idx="207">
                  <c:v>146.79104732400052</c:v>
                </c:pt>
                <c:pt idx="208">
                  <c:v>148.1184003817275</c:v>
                </c:pt>
                <c:pt idx="209">
                  <c:v>149.45049168894562</c:v>
                </c:pt>
                <c:pt idx="210">
                  <c:v>150.78730301840002</c:v>
                </c:pt>
                <c:pt idx="211">
                  <c:v>152.12881613032408</c:v>
                </c:pt>
                <c:pt idx="212">
                  <c:v>153.4750127726397</c:v>
                </c:pt>
                <c:pt idx="213">
                  <c:v>154.82587468115739</c:v>
                </c:pt>
                <c:pt idx="214">
                  <c:v>156.18138357977588</c:v>
                </c:pt>
                <c:pt idx="215">
                  <c:v>157.5415211806816</c:v>
                </c:pt>
                <c:pt idx="216">
                  <c:v>158.90626918454765</c:v>
                </c:pt>
                <c:pt idx="217">
                  <c:v>160.27560928073251</c:v>
                </c:pt>
                <c:pt idx="218">
                  <c:v>161.64952314747833</c:v>
                </c:pt>
                <c:pt idx="219">
                  <c:v>163.02799245210889</c:v>
                </c:pt>
                <c:pt idx="220">
                  <c:v>164.41099885122722</c:v>
                </c:pt>
                <c:pt idx="221">
                  <c:v>165.79852399091274</c:v>
                </c:pt>
                <c:pt idx="222">
                  <c:v>167.19054950691816</c:v>
                </c:pt>
                <c:pt idx="223">
                  <c:v>168.5870570248658</c:v>
                </c:pt>
                <c:pt idx="224">
                  <c:v>169.98802816044363</c:v>
                </c:pt>
                <c:pt idx="225">
                  <c:v>171.39344451960088</c:v>
                </c:pt>
                <c:pt idx="226">
                  <c:v>172.80328769874316</c:v>
                </c:pt>
                <c:pt idx="227">
                  <c:v>174.21753928492726</c:v>
                </c:pt>
                <c:pt idx="228">
                  <c:v>175.63618085605532</c:v>
                </c:pt>
                <c:pt idx="229">
                  <c:v>177.05919398106889</c:v>
                </c:pt>
                <c:pt idx="230">
                  <c:v>178.48656022014211</c:v>
                </c:pt>
                <c:pt idx="231">
                  <c:v>179.91826112487485</c:v>
                </c:pt>
                <c:pt idx="232">
                  <c:v>181.35427823848499</c:v>
                </c:pt>
                <c:pt idx="233">
                  <c:v>182.79459309600063</c:v>
                </c:pt>
                <c:pt idx="234">
                  <c:v>184.2391872244514</c:v>
                </c:pt>
                <c:pt idx="235">
                  <c:v>185.68804214305965</c:v>
                </c:pt>
                <c:pt idx="236">
                  <c:v>187.14113936343088</c:v>
                </c:pt>
                <c:pt idx="237">
                  <c:v>188.59846038974388</c:v>
                </c:pt>
                <c:pt idx="238">
                  <c:v>190.05998671894011</c:v>
                </c:pt>
                <c:pt idx="239">
                  <c:v>191.52569984091289</c:v>
                </c:pt>
                <c:pt idx="240">
                  <c:v>192.99558123869571</c:v>
                </c:pt>
                <c:pt idx="241">
                  <c:v>194.46961238865032</c:v>
                </c:pt>
                <c:pt idx="242">
                  <c:v>195.94777476065411</c:v>
                </c:pt>
                <c:pt idx="243">
                  <c:v>197.43004981828696</c:v>
                </c:pt>
                <c:pt idx="244">
                  <c:v>198.91641901901761</c:v>
                </c:pt>
                <c:pt idx="245">
                  <c:v>200.40686381438945</c:v>
                </c:pt>
                <c:pt idx="246">
                  <c:v>201.90136565020575</c:v>
                </c:pt>
                <c:pt idx="247">
                  <c:v>203.39990596671424</c:v>
                </c:pt>
                <c:pt idx="248">
                  <c:v>204.90246619879136</c:v>
                </c:pt>
                <c:pt idx="249">
                  <c:v>206.40902777612555</c:v>
                </c:pt>
                <c:pt idx="250">
                  <c:v>207.9195721234004</c:v>
                </c:pt>
                <c:pt idx="251">
                  <c:v>209.43407905116553</c:v>
                </c:pt>
                <c:pt idx="252">
                  <c:v>210.95252514660507</c:v>
                </c:pt>
                <c:pt idx="253">
                  <c:v>212.47488538368131</c:v>
                </c:pt>
                <c:pt idx="254">
                  <c:v>214.00113473342174</c:v>
                </c:pt>
                <c:pt idx="255">
                  <c:v>215.53124816418278</c:v>
                </c:pt>
                <c:pt idx="256">
                  <c:v>217.06520064191238</c:v>
                </c:pt>
                <c:pt idx="257">
                  <c:v>218.60296713041126</c:v>
                </c:pt>
                <c:pt idx="258">
                  <c:v>220.14452259159319</c:v>
                </c:pt>
                <c:pt idx="259">
                  <c:v>221.68984198574395</c:v>
                </c:pt>
                <c:pt idx="260">
                  <c:v>223.23890027177916</c:v>
                </c:pt>
                <c:pt idx="261">
                  <c:v>224.7916724075009</c:v>
                </c:pt>
                <c:pt idx="262">
                  <c:v>226.34813334985307</c:v>
                </c:pt>
                <c:pt idx="263">
                  <c:v>227.90825805517559</c:v>
                </c:pt>
                <c:pt idx="264">
                  <c:v>229.4720214794574</c:v>
                </c:pt>
                <c:pt idx="265">
                  <c:v>231.03939857858811</c:v>
                </c:pt>
                <c:pt idx="266">
                  <c:v>232.61036430860852</c:v>
                </c:pt>
                <c:pt idx="267">
                  <c:v>234.18489362595994</c:v>
                </c:pt>
                <c:pt idx="268">
                  <c:v>235.76296148773207</c:v>
                </c:pt>
                <c:pt idx="269">
                  <c:v>237.34454285190984</c:v>
                </c:pt>
                <c:pt idx="270">
                  <c:v>238.92961267761882</c:v>
                </c:pt>
                <c:pt idx="271">
                  <c:v>240.51814592536951</c:v>
                </c:pt>
                <c:pt idx="272">
                  <c:v>242.11011755730019</c:v>
                </c:pt>
                <c:pt idx="273">
                  <c:v>243.70550253741862</c:v>
                </c:pt>
                <c:pt idx="274">
                  <c:v>245.3042758318424</c:v>
                </c:pt>
                <c:pt idx="275">
                  <c:v>246.9064124090381</c:v>
                </c:pt>
                <c:pt idx="276">
                  <c:v>248.51188724005888</c:v>
                </c:pt>
                <c:pt idx="277">
                  <c:v>250.12067529878118</c:v>
                </c:pt>
                <c:pt idx="278">
                  <c:v>251.73275156213975</c:v>
                </c:pt>
                <c:pt idx="279">
                  <c:v>253.34809101036151</c:v>
                </c:pt>
                <c:pt idx="280">
                  <c:v>254.96666862719815</c:v>
                </c:pt>
                <c:pt idx="281">
                  <c:v>256.58845940015726</c:v>
                </c:pt>
                <c:pt idx="282">
                  <c:v>258.21343832073234</c:v>
                </c:pt>
                <c:pt idx="283">
                  <c:v>259.84158038463119</c:v>
                </c:pt>
                <c:pt idx="284">
                  <c:v>261.47286059200331</c:v>
                </c:pt>
                <c:pt idx="285">
                  <c:v>263.10725394766558</c:v>
                </c:pt>
                <c:pt idx="286">
                  <c:v>264.74473546132702</c:v>
                </c:pt>
                <c:pt idx="287">
                  <c:v>266.38528014781173</c:v>
                </c:pt>
                <c:pt idx="288">
                  <c:v>268.02886302728092</c:v>
                </c:pt>
                <c:pt idx="289">
                  <c:v>269.67545912545324</c:v>
                </c:pt>
                <c:pt idx="290">
                  <c:v>271.325043473824</c:v>
                </c:pt>
                <c:pt idx="291">
                  <c:v>272.97759110988278</c:v>
                </c:pt>
                <c:pt idx="292">
                  <c:v>274.63307707732997</c:v>
                </c:pt>
                <c:pt idx="293">
                  <c:v>276.29147642629169</c:v>
                </c:pt>
                <c:pt idx="294">
                  <c:v>277.95276421353344</c:v>
                </c:pt>
                <c:pt idx="295">
                  <c:v>279.61691550267227</c:v>
                </c:pt>
                <c:pt idx="296">
                  <c:v>281.28390536438786</c:v>
                </c:pt>
                <c:pt idx="297">
                  <c:v>282.95370887663182</c:v>
                </c:pt>
                <c:pt idx="298">
                  <c:v>284.62628351581145</c:v>
                </c:pt>
                <c:pt idx="299">
                  <c:v>286.30155155276105</c:v>
                </c:pt>
                <c:pt idx="300">
                  <c:v>287.97941767922237</c:v>
                </c:pt>
                <c:pt idx="301">
                  <c:v>289.65978663032428</c:v>
                </c:pt>
                <c:pt idx="302">
                  <c:v>291.34256318635494</c:v>
                </c:pt>
                <c:pt idx="303">
                  <c:v>293.02765217451474</c:v>
                </c:pt>
                <c:pt idx="304">
                  <c:v>294.71495847065017</c:v>
                </c:pt>
                <c:pt idx="305">
                  <c:v>296.40438700096882</c:v>
                </c:pt>
                <c:pt idx="306">
                  <c:v>298.09584274373503</c:v>
                </c:pt>
                <c:pt idx="307">
                  <c:v>299.78923073094637</c:v>
                </c:pt>
                <c:pt idx="308">
                  <c:v>301.48445604999102</c:v>
                </c:pt>
                <c:pt idx="309">
                  <c:v>303.18142384528562</c:v>
                </c:pt>
                <c:pt idx="310">
                  <c:v>304.88003931989397</c:v>
                </c:pt>
                <c:pt idx="311">
                  <c:v>306.58020773712639</c:v>
                </c:pt>
                <c:pt idx="312">
                  <c:v>308.28183442211963</c:v>
                </c:pt>
                <c:pt idx="313">
                  <c:v>309.9848247633974</c:v>
                </c:pt>
                <c:pt idx="314">
                  <c:v>311.68908421441154</c:v>
                </c:pt>
                <c:pt idx="315">
                  <c:v>313.39451829506379</c:v>
                </c:pt>
                <c:pt idx="316">
                  <c:v>315.10103259320795</c:v>
                </c:pt>
                <c:pt idx="317">
                  <c:v>316.8085327661326</c:v>
                </c:pt>
                <c:pt idx="318">
                  <c:v>318.51692454202464</c:v>
                </c:pt>
                <c:pt idx="319">
                  <c:v>320.2261137214129</c:v>
                </c:pt>
                <c:pt idx="320">
                  <c:v>321.93600617859266</c:v>
                </c:pt>
                <c:pt idx="321">
                  <c:v>323.64651485678212</c:v>
                </c:pt>
                <c:pt idx="322">
                  <c:v>325.3575667580202</c:v>
                </c:pt>
                <c:pt idx="323">
                  <c:v>327.06909593880772</c:v>
                </c:pt>
                <c:pt idx="324">
                  <c:v>328.78103651063037</c:v>
                </c:pt>
                <c:pt idx="325">
                  <c:v>330.49332264061275</c:v>
                </c:pt>
                <c:pt idx="326">
                  <c:v>332.20588855216323</c:v>
                </c:pt>
                <c:pt idx="327">
                  <c:v>333.91866852560935</c:v>
                </c:pt>
                <c:pt idx="328">
                  <c:v>335.63159689882315</c:v>
                </c:pt>
                <c:pt idx="329">
                  <c:v>337.34460806783761</c:v>
                </c:pt>
                <c:pt idx="330">
                  <c:v>339.05763648745312</c:v>
                </c:pt>
                <c:pt idx="331">
                  <c:v>340.77061667183466</c:v>
                </c:pt>
                <c:pt idx="332">
                  <c:v>342.48348319509944</c:v>
                </c:pt>
                <c:pt idx="333">
                  <c:v>344.19617069189519</c:v>
                </c:pt>
                <c:pt idx="334">
                  <c:v>345.90861385796899</c:v>
                </c:pt>
                <c:pt idx="335">
                  <c:v>347.62074745072664</c:v>
                </c:pt>
                <c:pt idx="336">
                  <c:v>349.33250628978277</c:v>
                </c:pt>
                <c:pt idx="337">
                  <c:v>351.04382525750145</c:v>
                </c:pt>
                <c:pt idx="338">
                  <c:v>352.75463929952787</c:v>
                </c:pt>
                <c:pt idx="339">
                  <c:v>354.46488342531006</c:v>
                </c:pt>
                <c:pt idx="340">
                  <c:v>356.17449270861215</c:v>
                </c:pt>
                <c:pt idx="341">
                  <c:v>357.88340228801769</c:v>
                </c:pt>
                <c:pt idx="342">
                  <c:v>359.59154736742431</c:v>
                </c:pt>
                <c:pt idx="343">
                  <c:v>361.29886321652884</c:v>
                </c:pt>
                <c:pt idx="344">
                  <c:v>363.00528517130351</c:v>
                </c:pt>
                <c:pt idx="345">
                  <c:v>364.71074863446302</c:v>
                </c:pt>
                <c:pt idx="346">
                  <c:v>366.4151890759224</c:v>
                </c:pt>
                <c:pt idx="347">
                  <c:v>368.118542033246</c:v>
                </c:pt>
                <c:pt idx="348">
                  <c:v>369.8207438654083</c:v>
                </c:pt>
                <c:pt idx="349">
                  <c:v>371.52173250571508</c:v>
                </c:pt>
                <c:pt idx="350">
                  <c:v>373.22144670722844</c:v>
                </c:pt>
                <c:pt idx="351">
                  <c:v>374.91982528898967</c:v>
                </c:pt>
                <c:pt idx="352">
                  <c:v>376.61680713637691</c:v>
                </c:pt>
                <c:pt idx="353">
                  <c:v>378.31233120145504</c:v>
                </c:pt>
                <c:pt idx="354">
                  <c:v>380.00633650331719</c:v>
                </c:pt>
                <c:pt idx="355">
                  <c:v>381.69876212841882</c:v>
                </c:pt>
                <c:pt idx="356">
                  <c:v>383.38954723090364</c:v>
                </c:pt>
                <c:pt idx="357">
                  <c:v>385.07863103292175</c:v>
                </c:pt>
                <c:pt idx="358">
                  <c:v>386.76595282494003</c:v>
                </c:pt>
                <c:pt idx="359">
                  <c:v>388.45145196604477</c:v>
                </c:pt>
                <c:pt idx="360">
                  <c:v>390.13508354435527</c:v>
                </c:pt>
                <c:pt idx="361">
                  <c:v>391.81683401816588</c:v>
                </c:pt>
                <c:pt idx="362">
                  <c:v>393.49670551863704</c:v>
                </c:pt>
                <c:pt idx="363">
                  <c:v>395.17470017161696</c:v>
                </c:pt>
                <c:pt idx="364">
                  <c:v>396.85082009765847</c:v>
                </c:pt>
                <c:pt idx="365">
                  <c:v>398.52506741203592</c:v>
                </c:pt>
                <c:pt idx="366">
                  <c:v>400.19744422476191</c:v>
                </c:pt>
                <c:pt idx="367">
                  <c:v>401.86795264060396</c:v>
                </c:pt>
                <c:pt idx="368">
                  <c:v>403.53659475910115</c:v>
                </c:pt>
                <c:pt idx="369">
                  <c:v>405.20337267458075</c:v>
                </c:pt>
                <c:pt idx="370">
                  <c:v>406.86828847617465</c:v>
                </c:pt>
                <c:pt idx="371">
                  <c:v>408.53134424783576</c:v>
                </c:pt>
                <c:pt idx="372">
                  <c:v>410.19254206835433</c:v>
                </c:pt>
                <c:pt idx="373">
                  <c:v>411.85188401137435</c:v>
                </c:pt>
                <c:pt idx="374">
                  <c:v>413.50937214540983</c:v>
                </c:pt>
                <c:pt idx="375">
                  <c:v>415.16500853386066</c:v>
                </c:pt>
                <c:pt idx="376">
                  <c:v>416.81879523502903</c:v>
                </c:pt>
                <c:pt idx="377">
                  <c:v>418.47073430213533</c:v>
                </c:pt>
                <c:pt idx="378">
                  <c:v>420.12082778333405</c:v>
                </c:pt>
                <c:pt idx="379">
                  <c:v>421.76907772172979</c:v>
                </c:pt>
                <c:pt idx="380">
                  <c:v>423.41548615539301</c:v>
                </c:pt>
                <c:pt idx="381">
                  <c:v>425.0600551173759</c:v>
                </c:pt>
                <c:pt idx="382">
                  <c:v>426.70278663572799</c:v>
                </c:pt>
                <c:pt idx="383">
                  <c:v>428.3436827335118</c:v>
                </c:pt>
                <c:pt idx="384">
                  <c:v>429.98274542881853</c:v>
                </c:pt>
                <c:pt idx="385">
                  <c:v>431.61997673478351</c:v>
                </c:pt>
                <c:pt idx="386">
                  <c:v>433.2553786596016</c:v>
                </c:pt>
                <c:pt idx="387">
                  <c:v>434.88895320654268</c:v>
                </c:pt>
                <c:pt idx="388">
                  <c:v>436.52070237396691</c:v>
                </c:pt>
                <c:pt idx="389">
                  <c:v>438.15062815534009</c:v>
                </c:pt>
                <c:pt idx="390">
                  <c:v>439.77873253924878</c:v>
                </c:pt>
                <c:pt idx="391">
                  <c:v>441.40501750941553</c:v>
                </c:pt>
                <c:pt idx="392">
                  <c:v>443.02948504471397</c:v>
                </c:pt>
                <c:pt idx="393">
                  <c:v>444.65213711918369</c:v>
                </c:pt>
                <c:pt idx="394">
                  <c:v>446.27297570204541</c:v>
                </c:pt>
                <c:pt idx="395">
                  <c:v>447.89200275771583</c:v>
                </c:pt>
                <c:pt idx="396">
                  <c:v>449.50922024582241</c:v>
                </c:pt>
                <c:pt idx="397">
                  <c:v>451.12463012121822</c:v>
                </c:pt>
                <c:pt idx="398">
                  <c:v>452.73823433399667</c:v>
                </c:pt>
                <c:pt idx="399">
                  <c:v>454.35003482950623</c:v>
                </c:pt>
                <c:pt idx="400">
                  <c:v>455.96003354836495</c:v>
                </c:pt>
                <c:pt idx="401">
                  <c:v>471.96107300060953</c:v>
                </c:pt>
                <c:pt idx="402">
                  <c:v>487.78318333211666</c:v>
                </c:pt>
                <c:pt idx="403">
                  <c:v>503.42825807706595</c:v>
                </c:pt>
                <c:pt idx="404">
                  <c:v>518.89814542549937</c:v>
                </c:pt>
                <c:pt idx="405">
                  <c:v>534.19464958529625</c:v>
                </c:pt>
                <c:pt idx="406">
                  <c:v>549.31953209177277</c:v>
                </c:pt>
                <c:pt idx="407">
                  <c:v>564.27451306730495</c:v>
                </c:pt>
                <c:pt idx="408">
                  <c:v>579.06127243324454</c:v>
                </c:pt>
                <c:pt idx="409">
                  <c:v>593.68145107627743</c:v>
                </c:pt>
                <c:pt idx="410">
                  <c:v>608.13665197126136</c:v>
                </c:pt>
                <c:pt idx="411">
                  <c:v>622.42844126247451</c:v>
                </c:pt>
                <c:pt idx="412">
                  <c:v>636.558349305104</c:v>
                </c:pt>
                <c:pt idx="413">
                  <c:v>650.52787166871224</c:v>
                </c:pt>
                <c:pt idx="414">
                  <c:v>664.33847010432908</c:v>
                </c:pt>
                <c:pt idx="415">
                  <c:v>677.9915734767344</c:v>
                </c:pt>
                <c:pt idx="416">
                  <c:v>691.48857866341723</c:v>
                </c:pt>
                <c:pt idx="417">
                  <c:v>704.83085142162349</c:v>
                </c:pt>
                <c:pt idx="418">
                  <c:v>718.01972722483549</c:v>
                </c:pt>
                <c:pt idx="419">
                  <c:v>731.05651206995776</c:v>
                </c:pt>
                <c:pt idx="420">
                  <c:v>743.94248325642502</c:v>
                </c:pt>
                <c:pt idx="421">
                  <c:v>756.67889013838635</c:v>
                </c:pt>
                <c:pt idx="422">
                  <c:v>769.26695485106575</c:v>
                </c:pt>
                <c:pt idx="423">
                  <c:v>781.70787301234577</c:v>
                </c:pt>
                <c:pt idx="424">
                  <c:v>794.00281440057267</c:v>
                </c:pt>
                <c:pt idx="425">
                  <c:v>806.15292360953242</c:v>
                </c:pt>
                <c:pt idx="426">
                  <c:v>818.15932068150437</c:v>
                </c:pt>
                <c:pt idx="427">
                  <c:v>830.02310171925626</c:v>
                </c:pt>
                <c:pt idx="428">
                  <c:v>841.74533947780549</c:v>
                </c:pt>
                <c:pt idx="429">
                  <c:v>853.32708393673147</c:v>
                </c:pt>
                <c:pt idx="430">
                  <c:v>864.76936285379099</c:v>
                </c:pt>
                <c:pt idx="431">
                  <c:v>876.07318230055296</c:v>
                </c:pt>
                <c:pt idx="432">
                  <c:v>887.23952718073645</c:v>
                </c:pt>
                <c:pt idx="433">
                  <c:v>898.26936173190711</c:v>
                </c:pt>
                <c:pt idx="434">
                  <c:v>909.16363001115553</c:v>
                </c:pt>
                <c:pt idx="435">
                  <c:v>919.92325636535645</c:v>
                </c:pt>
                <c:pt idx="436">
                  <c:v>930.54914588657891</c:v>
                </c:pt>
                <c:pt idx="437">
                  <c:v>941.04218485319529</c:v>
                </c:pt>
                <c:pt idx="438">
                  <c:v>951.40324115721126</c:v>
                </c:pt>
                <c:pt idx="439">
                  <c:v>961.6331647183174</c:v>
                </c:pt>
                <c:pt idx="440">
                  <c:v>971.73278788514222</c:v>
                </c:pt>
                <c:pt idx="441">
                  <c:v>981.70292582416516</c:v>
                </c:pt>
                <c:pt idx="442">
                  <c:v>991.54437689673011</c:v>
                </c:pt>
                <c:pt idx="443">
                  <c:v>1001.2579230245801</c:v>
                </c:pt>
                <c:pt idx="444">
                  <c:v>1010.8443300443178</c:v>
                </c:pt>
                <c:pt idx="445">
                  <c:v>1020.3043480511785</c:v>
                </c:pt>
                <c:pt idx="446">
                  <c:v>1029.6387117324891</c:v>
                </c:pt>
                <c:pt idx="447">
                  <c:v>1038.8481406911674</c:v>
                </c:pt>
                <c:pt idx="448">
                  <c:v>1047.9333397596049</c:v>
                </c:pt>
                <c:pt idx="449">
                  <c:v>1056.8949993042629</c:v>
                </c:pt>
                <c:pt idx="450">
                  <c:v>1065.7337955212961</c:v>
                </c:pt>
                <c:pt idx="451">
                  <c:v>1074.4503907235073</c:v>
                </c:pt>
                <c:pt idx="452">
                  <c:v>1083.0454336189248</c:v>
                </c:pt>
                <c:pt idx="453">
                  <c:v>1091.5195595812838</c:v>
                </c:pt>
                <c:pt idx="454">
                  <c:v>1099.8733909126793</c:v>
                </c:pt>
                <c:pt idx="455">
                  <c:v>1108.1075370986523</c:v>
                </c:pt>
                <c:pt idx="456">
                  <c:v>1116.2225950559571</c:v>
                </c:pt>
                <c:pt idx="457">
                  <c:v>1124.2191493732512</c:v>
                </c:pt>
                <c:pt idx="458">
                  <c:v>1132.09777254494</c:v>
                </c:pt>
                <c:pt idx="459">
                  <c:v>1139.8590251983981</c:v>
                </c:pt>
                <c:pt idx="460">
                  <c:v>1147.5034563147847</c:v>
                </c:pt>
                <c:pt idx="461">
                  <c:v>1155.0316034436596</c:v>
                </c:pt>
                <c:pt idx="462">
                  <c:v>1162.4439929116011</c:v>
                </c:pt>
                <c:pt idx="463">
                  <c:v>1169.7411400250207</c:v>
                </c:pt>
                <c:pt idx="464">
                  <c:v>1176.9235492673604</c:v>
                </c:pt>
                <c:pt idx="465">
                  <c:v>1183.9917144908559</c:v>
                </c:pt>
                <c:pt idx="466">
                  <c:v>1190.9461191030416</c:v>
                </c:pt>
                <c:pt idx="467">
                  <c:v>1197.7872362481671</c:v>
                </c:pt>
                <c:pt idx="468">
                  <c:v>1204.5155289836905</c:v>
                </c:pt>
                <c:pt idx="469">
                  <c:v>1211.1314504520108</c:v>
                </c:pt>
                <c:pt idx="470">
                  <c:v>1217.6354440475943</c:v>
                </c:pt>
                <c:pt idx="471">
                  <c:v>1224.0279435796492</c:v>
                </c:pt>
                <c:pt idx="472">
                  <c:v>1230.3093734304941</c:v>
                </c:pt>
                <c:pt idx="473">
                  <c:v>1236.4801487097689</c:v>
                </c:pt>
                <c:pt idx="474">
                  <c:v>1242.540675404628</c:v>
                </c:pt>
                <c:pt idx="475">
                  <c:v>1248.4913505260561</c:v>
                </c:pt>
                <c:pt idx="476">
                  <c:v>1254.3325622514435</c:v>
                </c:pt>
                <c:pt idx="477">
                  <c:v>1260.0646900635552</c:v>
                </c:pt>
                <c:pt idx="478">
                  <c:v>1265.6881048860278</c:v>
                </c:pt>
                <c:pt idx="479">
                  <c:v>1271.2031692155244</c:v>
                </c:pt>
                <c:pt idx="480">
                  <c:v>1276.6102372506814</c:v>
                </c:pt>
                <c:pt idx="481">
                  <c:v>1281.9096550179734</c:v>
                </c:pt>
                <c:pt idx="482">
                  <c:v>1287.1017604946292</c:v>
                </c:pt>
                <c:pt idx="483">
                  <c:v>1292.1868837287286</c:v>
                </c:pt>
                <c:pt idx="484">
                  <c:v>1297.1653469566097</c:v>
                </c:pt>
                <c:pt idx="485">
                  <c:v>1302.0374647177216</c:v>
                </c:pt>
                <c:pt idx="486">
                  <c:v>1306.8035439670537</c:v>
                </c:pt>
                <c:pt idx="487">
                  <c:v>1311.4638841852804</c:v>
                </c:pt>
                <c:pt idx="488">
                  <c:v>1316.0187774867595</c:v>
                </c:pt>
                <c:pt idx="489">
                  <c:v>1320.4685087255266</c:v>
                </c:pt>
                <c:pt idx="490">
                  <c:v>1324.8133555994336</c:v>
                </c:pt>
                <c:pt idx="491">
                  <c:v>1329.0535887525841</c:v>
                </c:pt>
                <c:pt idx="492">
                  <c:v>1333.1894718762205</c:v>
                </c:pt>
                <c:pt idx="493">
                  <c:v>1337.221261808231</c:v>
                </c:pt>
                <c:pt idx="494">
                  <c:v>1341.1492086314452</c:v>
                </c:pt>
                <c:pt idx="495">
                  <c:v>1344.9735557709007</c:v>
                </c:pt>
                <c:pt idx="496">
                  <c:v>1348.6945400902691</c:v>
                </c:pt>
                <c:pt idx="497">
                  <c:v>1352.3123919876414</c:v>
                </c:pt>
                <c:pt idx="498">
                  <c:v>1355.8273354908845</c:v>
                </c:pt>
                <c:pt idx="499">
                  <c:v>1359.2395883527934</c:v>
                </c:pt>
                <c:pt idx="500">
                  <c:v>1362.5493621462758</c:v>
                </c:pt>
                <c:pt idx="501">
                  <c:v>1365.7568623598231</c:v>
                </c:pt>
                <c:pt idx="502">
                  <c:v>1368.8622884935346</c:v>
                </c:pt>
                <c:pt idx="503">
                  <c:v>1371.8658341559844</c:v>
                </c:pt>
                <c:pt idx="504">
                  <c:v>1374.7676871622316</c:v>
                </c:pt>
                <c:pt idx="505">
                  <c:v>1377.5680296332987</c:v>
                </c:pt>
                <c:pt idx="506">
                  <c:v>1380.2670380974635</c:v>
                </c:pt>
                <c:pt idx="507">
                  <c:v>1382.8648835937252</c:v>
                </c:pt>
                <c:pt idx="508">
                  <c:v>1385.3617317778323</c:v>
                </c:pt>
                <c:pt idx="509">
                  <c:v>1387.7577430312767</c:v>
                </c:pt>
                <c:pt idx="510">
                  <c:v>1390.053072573678</c:v>
                </c:pt>
                <c:pt idx="511">
                  <c:v>1392.2478705790056</c:v>
                </c:pt>
                <c:pt idx="512">
                  <c:v>1394.3422822960968</c:v>
                </c:pt>
                <c:pt idx="513">
                  <c:v>1396.3364481739454</c:v>
                </c:pt>
                <c:pt idx="514">
                  <c:v>1398.2305039922492</c:v>
                </c:pt>
                <c:pt idx="515">
                  <c:v>1400.0245809976996</c:v>
                </c:pt>
                <c:pt idx="516">
                  <c:v>1401.7188060465073</c:v>
                </c:pt>
                <c:pt idx="517">
                  <c:v>1403.3133017536388</c:v>
                </c:pt>
                <c:pt idx="518">
                  <c:v>1404.8081866492232</c:v>
                </c:pt>
                <c:pt idx="519">
                  <c:v>1406.2035753425605</c:v>
                </c:pt>
                <c:pt idx="520">
                  <c:v>1407.4995786941179</c:v>
                </c:pt>
                <c:pt idx="521">
                  <c:v>1408.6963039958457</c:v>
                </c:pt>
                <c:pt idx="522">
                  <c:v>1409.7938551600746</c:v>
                </c:pt>
                <c:pt idx="523">
                  <c:v>1410.7923329171692</c:v>
                </c:pt>
                <c:pt idx="524">
                  <c:v>1411.6918350220117</c:v>
                </c:pt>
                <c:pt idx="525">
                  <c:v>1412.4924564692737</c:v>
                </c:pt>
                <c:pt idx="526">
                  <c:v>1413.1942897173014</c:v>
                </c:pt>
                <c:pt idx="527">
                  <c:v>1413.7974249203003</c:v>
                </c:pt>
                <c:pt idx="528">
                  <c:v>1414.3019501683527</c:v>
                </c:pt>
                <c:pt idx="529">
                  <c:v>1414.7079517346494</c:v>
                </c:pt>
                <c:pt idx="530">
                  <c:v>1415.0155143291545</c:v>
                </c:pt>
                <c:pt idx="531">
                  <c:v>1415.2247213577828</c:v>
                </c:pt>
                <c:pt idx="532">
                  <c:v>1415.3356551860206</c:v>
                </c:pt>
                <c:pt idx="533">
                  <c:v>1415.348397405807</c:v>
                </c:pt>
                <c:pt idx="534">
                  <c:v>1415.2630291043829</c:v>
                </c:pt>
                <c:pt idx="535">
                  <c:v>1415.0796311337544</c:v>
                </c:pt>
                <c:pt idx="536">
                  <c:v>1414.79828437936</c:v>
                </c:pt>
                <c:pt idx="537">
                  <c:v>1414.4190700265283</c:v>
                </c:pt>
                <c:pt idx="538">
                  <c:v>1413.9420698233337</c:v>
                </c:pt>
                <c:pt idx="539">
                  <c:v>1413.3673663385055</c:v>
                </c:pt>
                <c:pt idx="540">
                  <c:v>1412.6950432131325</c:v>
                </c:pt>
                <c:pt idx="541">
                  <c:v>1411.9251854050124</c:v>
                </c:pt>
                <c:pt idx="542">
                  <c:v>1411.0578794246198</c:v>
                </c:pt>
                <c:pt idx="543">
                  <c:v>1410.0932135618166</c:v>
                </c:pt>
                <c:pt idx="544">
                  <c:v>1409.0312781025725</c:v>
                </c:pt>
                <c:pt idx="545">
                  <c:v>1407.8721655351285</c:v>
                </c:pt>
                <c:pt idx="546">
                  <c:v>1406.6159707451848</c:v>
                </c:pt>
                <c:pt idx="547">
                  <c:v>1405.2627911998459</c:v>
                </c:pt>
                <c:pt idx="548">
                  <c:v>1403.8127271201965</c:v>
                </c:pt>
                <c:pt idx="549">
                  <c:v>1402.2658816425028</c:v>
                </c:pt>
                <c:pt idx="550">
                  <c:v>1400.6223609681524</c:v>
                </c:pt>
                <c:pt idx="551">
                  <c:v>1398.8822745025386</c:v>
                </c:pt>
                <c:pt idx="552">
                  <c:v>1397.0457349831736</c:v>
                </c:pt>
                <c:pt idx="553">
                  <c:v>1395.1128585973854</c:v>
                </c:pt>
                <c:pt idx="554">
                  <c:v>1393.0837650899975</c:v>
                </c:pt>
                <c:pt idx="555">
                  <c:v>1390.958577861433</c:v>
                </c:pt>
                <c:pt idx="556">
                  <c:v>1388.7374240567015</c:v>
                </c:pt>
                <c:pt idx="557">
                  <c:v>1386.4204346457504</c:v>
                </c:pt>
                <c:pt idx="558">
                  <c:v>1384.0077444956607</c:v>
                </c:pt>
                <c:pt idx="559">
                  <c:v>1381.4994924351638</c:v>
                </c:pt>
                <c:pt idx="560">
                  <c:v>1378.8958213119552</c:v>
                </c:pt>
                <c:pt idx="561">
                  <c:v>1376.1968780432574</c:v>
                </c:pt>
                <c:pt idx="562">
                  <c:v>1373.4028136600755</c:v>
                </c:pt>
                <c:pt idx="563">
                  <c:v>1370.5137833455644</c:v>
                </c:pt>
                <c:pt idx="564">
                  <c:v>1367.5299464679067</c:v>
                </c:pt>
                <c:pt idx="565">
                  <c:v>1364.4514666080793</c:v>
                </c:pt>
                <c:pt idx="566">
                  <c:v>1361.2785115828617</c:v>
                </c:pt>
                <c:pt idx="567">
                  <c:v>1358.0112534634175</c:v>
                </c:pt>
                <c:pt idx="568">
                  <c:v>1354.6498685897573</c:v>
                </c:pt>
                <c:pt idx="569">
                  <c:v>1351.1945375813716</c:v>
                </c:pt>
                <c:pt idx="570">
                  <c:v>1347.6454453442984</c:v>
                </c:pt>
                <c:pt idx="571">
                  <c:v>1344.0027810748716</c:v>
                </c:pt>
                <c:pt idx="572">
                  <c:v>1340.2667382603793</c:v>
                </c:pt>
                <c:pt idx="573">
                  <c:v>1336.4375146768405</c:v>
                </c:pt>
                <c:pt idx="574">
                  <c:v>1332.5153123840939</c:v>
                </c:pt>
                <c:pt idx="575">
                  <c:v>1328.5003377183778</c:v>
                </c:pt>
                <c:pt idx="576">
                  <c:v>1324.3928012825629</c:v>
                </c:pt>
                <c:pt idx="577">
                  <c:v>1320.1929179341921</c:v>
                </c:pt>
                <c:pt idx="578">
                  <c:v>1315.9009067714633</c:v>
                </c:pt>
                <c:pt idx="579">
                  <c:v>1311.5169911172827</c:v>
                </c:pt>
                <c:pt idx="580">
                  <c:v>1307.0413985015095</c:v>
                </c:pt>
                <c:pt idx="581">
                  <c:v>1302.4743606414961</c:v>
                </c:pt>
                <c:pt idx="582">
                  <c:v>1297.816113421025</c:v>
                </c:pt>
                <c:pt idx="583">
                  <c:v>1293.0668968677367</c:v>
                </c:pt>
                <c:pt idx="584">
                  <c:v>1288.226955129129</c:v>
                </c:pt>
                <c:pt idx="585">
                  <c:v>1283.2965364472102</c:v>
                </c:pt>
                <c:pt idx="586">
                  <c:v>1278.2758931318758</c:v>
                </c:pt>
                <c:pt idx="587">
                  <c:v>1273.1652815330781</c:v>
                </c:pt>
                <c:pt idx="588">
                  <c:v>1267.9649620118494</c:v>
                </c:pt>
                <c:pt idx="589">
                  <c:v>1262.6751989102379</c:v>
                </c:pt>
                <c:pt idx="590">
                  <c:v>1257.2962605202094</c:v>
                </c:pt>
                <c:pt idx="591">
                  <c:v>1251.8284190515658</c:v>
                </c:pt>
                <c:pt idx="592">
                  <c:v>1246.271950598926</c:v>
                </c:pt>
                <c:pt idx="593">
                  <c:v>1240.6271351078153</c:v>
                </c:pt>
                <c:pt idx="594">
                  <c:v>1234.8942563399028</c:v>
                </c:pt>
                <c:pt idx="595">
                  <c:v>1229.0736018374259</c:v>
                </c:pt>
                <c:pt idx="596">
                  <c:v>1223.1654628868387</c:v>
                </c:pt>
                <c:pt idx="597">
                  <c:v>1217.1701344817182</c:v>
                </c:pt>
                <c:pt idx="598">
                  <c:v>1211.0879152849611</c:v>
                </c:pt>
                <c:pt idx="599">
                  <c:v>1204.9191075903029</c:v>
                </c:pt>
                <c:pt idx="600">
                  <c:v>1198.6640172831862</c:v>
                </c:pt>
                <c:pt idx="601">
                  <c:v>1192.3229538010082</c:v>
                </c:pt>
                <c:pt idx="602">
                  <c:v>1185.896230092774</c:v>
                </c:pt>
                <c:pt idx="603">
                  <c:v>1179.3841625781783</c:v>
                </c:pt>
                <c:pt idx="604">
                  <c:v>1172.7870711061448</c:v>
                </c:pt>
                <c:pt idx="605">
                  <c:v>1166.105278912841</c:v>
                </c:pt>
                <c:pt idx="606">
                  <c:v>1159.3391125791945</c:v>
                </c:pt>
                <c:pt idx="607">
                  <c:v>1152.4889019879322</c:v>
                </c:pt>
                <c:pt idx="608">
                  <c:v>1145.5549802801609</c:v>
                </c:pt>
                <c:pt idx="609">
                  <c:v>1138.5376838115119</c:v>
                </c:pt>
                <c:pt idx="610">
                  <c:v>1131.4373521078687</c:v>
                </c:pt>
                <c:pt idx="611">
                  <c:v>1124.2543278206954</c:v>
                </c:pt>
                <c:pt idx="612">
                  <c:v>1116.988956681985</c:v>
                </c:pt>
                <c:pt idx="613">
                  <c:v>1109.6415874588467</c:v>
                </c:pt>
                <c:pt idx="614">
                  <c:v>1102.2125719077476</c:v>
                </c:pt>
                <c:pt idx="615">
                  <c:v>1094.7022647284271</c:v>
                </c:pt>
                <c:pt idx="616">
                  <c:v>1087.1110235174997</c:v>
                </c:pt>
                <c:pt idx="617">
                  <c:v>1079.439208721765</c:v>
                </c:pt>
                <c:pt idx="618">
                  <c:v>1071.6871835912366</c:v>
                </c:pt>
                <c:pt idx="619">
                  <c:v>1063.8553141319092</c:v>
                </c:pt>
                <c:pt idx="620">
                  <c:v>1055.9439690582776</c:v>
                </c:pt>
                <c:pt idx="621">
                  <c:v>1047.9535197456235</c:v>
                </c:pt>
                <c:pt idx="622">
                  <c:v>1039.8843401820825</c:v>
                </c:pt>
                <c:pt idx="623">
                  <c:v>1031.7368069205102</c:v>
                </c:pt>
                <c:pt idx="624">
                  <c:v>1023.5112990301571</c:v>
                </c:pt>
                <c:pt idx="625">
                  <c:v>1015.2081980481699</c:v>
                </c:pt>
                <c:pt idx="626">
                  <c:v>1006.8278879309302</c:v>
                </c:pt>
                <c:pt idx="627">
                  <c:v>998.37075500524679</c:v>
                </c:pt>
                <c:pt idx="628">
                  <c:v>989.83718791941396</c:v>
                </c:pt>
                <c:pt idx="629">
                  <c:v>981.22757759414822</c:v>
                </c:pt>
                <c:pt idx="630">
                  <c:v>972.54231717341816</c:v>
                </c:pt>
                <c:pt idx="631">
                  <c:v>963.78180197517929</c:v>
                </c:pt>
                <c:pt idx="632">
                  <c:v>954.94642944202712</c:v>
                </c:pt>
                <c:pt idx="633">
                  <c:v>946.03659909178134</c:v>
                </c:pt>
                <c:pt idx="634">
                  <c:v>937.05271246801237</c:v>
                </c:pt>
                <c:pt idx="635">
                  <c:v>927.99517309052442</c:v>
                </c:pt>
                <c:pt idx="636">
                  <c:v>918.86438640580525</c:v>
                </c:pt>
                <c:pt idx="637">
                  <c:v>909.66075973745649</c:v>
                </c:pt>
                <c:pt idx="638">
                  <c:v>900.38470223661477</c:v>
                </c:pt>
                <c:pt idx="639">
                  <c:v>891.03662483237679</c:v>
                </c:pt>
                <c:pt idx="640">
                  <c:v>881.61694018223841</c:v>
                </c:pt>
                <c:pt idx="641">
                  <c:v>872.12606262256077</c:v>
                </c:pt>
                <c:pt idx="642">
                  <c:v>862.56440811907339</c:v>
                </c:pt>
                <c:pt idx="643">
                  <c:v>852.93239421742624</c:v>
                </c:pt>
                <c:pt idx="644">
                  <c:v>843.23043999380116</c:v>
                </c:pt>
                <c:pt idx="645">
                  <c:v>833.45896600559445</c:v>
                </c:pt>
                <c:pt idx="646">
                  <c:v>823.61839424217999</c:v>
                </c:pt>
                <c:pt idx="647">
                  <c:v>813.70914807576469</c:v>
                </c:pt>
                <c:pt idx="648">
                  <c:v>803.73165221234592</c:v>
                </c:pt>
                <c:pt idx="649">
                  <c:v>793.68633264278196</c:v>
                </c:pt>
                <c:pt idx="650">
                  <c:v>783.57361659398464</c:v>
                </c:pt>
                <c:pt idx="651">
                  <c:v>773.39393248024521</c:v>
                </c:pt>
                <c:pt idx="652">
                  <c:v>763.14770985470261</c:v>
                </c:pt>
                <c:pt idx="653">
                  <c:v>752.83537936096423</c:v>
                </c:pt>
                <c:pt idx="654">
                  <c:v>742.45737268488847</c:v>
                </c:pt>
                <c:pt idx="655">
                  <c:v>732.01412250653902</c:v>
                </c:pt>
                <c:pt idx="656">
                  <c:v>721.50606245231938</c:v>
                </c:pt>
                <c:pt idx="657">
                  <c:v>710.9336270472977</c:v>
                </c:pt>
                <c:pt idx="658">
                  <c:v>700.29725166773028</c:v>
                </c:pt>
                <c:pt idx="659">
                  <c:v>689.59737249379248</c:v>
                </c:pt>
                <c:pt idx="660">
                  <c:v>678.83442646252684</c:v>
                </c:pt>
                <c:pt idx="661">
                  <c:v>668.00885122101545</c:v>
                </c:pt>
                <c:pt idx="662">
                  <c:v>657.12108507978587</c:v>
                </c:pt>
                <c:pt idx="663">
                  <c:v>646.17156696645918</c:v>
                </c:pt>
                <c:pt idx="664">
                  <c:v>635.16073637964701</c:v>
                </c:pt>
                <c:pt idx="665">
                  <c:v>624.08903334310719</c:v>
                </c:pt>
                <c:pt idx="666">
                  <c:v>612.95689836016402</c:v>
                </c:pt>
                <c:pt idx="667">
                  <c:v>601.7647723684023</c:v>
                </c:pt>
                <c:pt idx="668">
                  <c:v>590.51309669464183</c:v>
                </c:pt>
                <c:pt idx="669">
                  <c:v>579.20231301019999</c:v>
                </c:pt>
                <c:pt idx="670">
                  <c:v>567.83286328644908</c:v>
                </c:pt>
                <c:pt idx="671">
                  <c:v>556.40518975067675</c:v>
                </c:pt>
                <c:pt idx="672">
                  <c:v>544.91973484225434</c:v>
                </c:pt>
                <c:pt idx="673">
                  <c:v>533.37694116912189</c:v>
                </c:pt>
                <c:pt idx="674">
                  <c:v>521.777251464595</c:v>
                </c:pt>
                <c:pt idx="675">
                  <c:v>510.12110854450066</c:v>
                </c:pt>
                <c:pt idx="676">
                  <c:v>498.40895526464777</c:v>
                </c:pt>
                <c:pt idx="677">
                  <c:v>486.64123447863886</c:v>
                </c:pt>
                <c:pt idx="678">
                  <c:v>474.81838899602866</c:v>
                </c:pt>
                <c:pt idx="679">
                  <c:v>462.94086154083533</c:v>
                </c:pt>
                <c:pt idx="680">
                  <c:v>451.00909471041007</c:v>
                </c:pt>
                <c:pt idx="681">
                  <c:v>439.0235309346703</c:v>
                </c:pt>
                <c:pt idx="682">
                  <c:v>426.98461243570188</c:v>
                </c:pt>
                <c:pt idx="683">
                  <c:v>414.89278118773547</c:v>
                </c:pt>
                <c:pt idx="684">
                  <c:v>402.74847887750173</c:v>
                </c:pt>
                <c:pt idx="685">
                  <c:v>390.55214686497084</c:v>
                </c:pt>
                <c:pt idx="686">
                  <c:v>378.30422614447986</c:v>
                </c:pt>
                <c:pt idx="687">
                  <c:v>366.00515730625358</c:v>
                </c:pt>
                <c:pt idx="688">
                  <c:v>353.65538049832236</c:v>
                </c:pt>
                <c:pt idx="689">
                  <c:v>341.25533538884144</c:v>
                </c:pt>
                <c:pt idx="690">
                  <c:v>328.80546112881586</c:v>
                </c:pt>
                <c:pt idx="691">
                  <c:v>316.30619631523427</c:v>
                </c:pt>
                <c:pt idx="692">
                  <c:v>303.75797895461619</c:v>
                </c:pt>
                <c:pt idx="693">
                  <c:v>291.16124642697525</c:v>
                </c:pt>
                <c:pt idx="694">
                  <c:v>278.51643545020278</c:v>
                </c:pt>
                <c:pt idx="695">
                  <c:v>265.82398204487407</c:v>
                </c:pt>
                <c:pt idx="696">
                  <c:v>253.08432149948104</c:v>
                </c:pt>
                <c:pt idx="697">
                  <c:v>240.29788833609382</c:v>
                </c:pt>
                <c:pt idx="698">
                  <c:v>227.46511627645418</c:v>
                </c:pt>
                <c:pt idx="699">
                  <c:v>214.58643820850341</c:v>
                </c:pt>
                <c:pt idx="700">
                  <c:v>201.662286153347</c:v>
                </c:pt>
                <c:pt idx="701">
                  <c:v>188.69309123265856</c:v>
                </c:pt>
                <c:pt idx="702">
                  <c:v>175.67928363652499</c:v>
                </c:pt>
                <c:pt idx="703">
                  <c:v>162.62129259173506</c:v>
                </c:pt>
                <c:pt idx="704">
                  <c:v>149.51954633051318</c:v>
                </c:pt>
                <c:pt idx="705">
                  <c:v>136.37447205970003</c:v>
                </c:pt>
                <c:pt idx="706">
                  <c:v>123.18649593038171</c:v>
                </c:pt>
                <c:pt idx="707">
                  <c:v>109.9560430079688</c:v>
                </c:pt>
                <c:pt idx="708">
                  <c:v>96.683537242726644</c:v>
                </c:pt>
                <c:pt idx="709">
                  <c:v>83.369401440757926</c:v>
                </c:pt>
                <c:pt idx="710">
                  <c:v>70.014057235438656</c:v>
                </c:pt>
                <c:pt idx="711">
                  <c:v>56.617925059308376</c:v>
                </c:pt>
                <c:pt idx="712">
                  <c:v>43.181424116415315</c:v>
                </c:pt>
                <c:pt idx="713">
                  <c:v>29.704972355117114</c:v>
                </c:pt>
                <c:pt idx="714">
                  <c:v>16.18898644133759</c:v>
                </c:pt>
                <c:pt idx="715">
                  <c:v>2.6338817322798747</c:v>
                </c:pt>
                <c:pt idx="716">
                  <c:v>-10.95992774940386</c:v>
                </c:pt>
                <c:pt idx="717">
                  <c:v>-10.973540826977674</c:v>
                </c:pt>
                <c:pt idx="718">
                  <c:v>-10.987153942637404</c:v>
                </c:pt>
                <c:pt idx="719">
                  <c:v>-11.000767096382642</c:v>
                </c:pt>
                <c:pt idx="720">
                  <c:v>-11.014380288212978</c:v>
                </c:pt>
                <c:pt idx="721">
                  <c:v>-11.027993518128003</c:v>
                </c:pt>
                <c:pt idx="722">
                  <c:v>-11.041606786127307</c:v>
                </c:pt>
                <c:pt idx="723">
                  <c:v>-11.05522009221048</c:v>
                </c:pt>
                <c:pt idx="724">
                  <c:v>-11.068833436377112</c:v>
                </c:pt>
                <c:pt idx="725">
                  <c:v>-11.082446818626796</c:v>
                </c:pt>
                <c:pt idx="726">
                  <c:v>-11.096060238959121</c:v>
                </c:pt>
                <c:pt idx="727">
                  <c:v>-11.109673697373676</c:v>
                </c:pt>
                <c:pt idx="728">
                  <c:v>-11.123287193870054</c:v>
                </c:pt>
                <c:pt idx="729">
                  <c:v>-11.136900728447845</c:v>
                </c:pt>
                <c:pt idx="730">
                  <c:v>-11.150514301106639</c:v>
                </c:pt>
                <c:pt idx="731">
                  <c:v>-11.164127911846027</c:v>
                </c:pt>
                <c:pt idx="732">
                  <c:v>-11.177741560665599</c:v>
                </c:pt>
                <c:pt idx="733">
                  <c:v>-11.191355247564946</c:v>
                </c:pt>
                <c:pt idx="734">
                  <c:v>-11.204968972543657</c:v>
                </c:pt>
                <c:pt idx="735">
                  <c:v>-11.218582735601325</c:v>
                </c:pt>
                <c:pt idx="736">
                  <c:v>-11.23219653673754</c:v>
                </c:pt>
                <c:pt idx="737">
                  <c:v>-11.245810375951891</c:v>
                </c:pt>
                <c:pt idx="738">
                  <c:v>-11.259424253243969</c:v>
                </c:pt>
                <c:pt idx="739">
                  <c:v>-11.273038168613365</c:v>
                </c:pt>
                <c:pt idx="740">
                  <c:v>-11.286652122059669</c:v>
                </c:pt>
                <c:pt idx="741">
                  <c:v>-11.300266113582474</c:v>
                </c:pt>
                <c:pt idx="742">
                  <c:v>-11.313880143181368</c:v>
                </c:pt>
                <c:pt idx="743">
                  <c:v>-11.327494210855942</c:v>
                </c:pt>
                <c:pt idx="744">
                  <c:v>-11.341108316605787</c:v>
                </c:pt>
                <c:pt idx="745">
                  <c:v>-11.354722460430493</c:v>
                </c:pt>
                <c:pt idx="746">
                  <c:v>-11.36833664232965</c:v>
                </c:pt>
                <c:pt idx="747">
                  <c:v>-11.381950862302851</c:v>
                </c:pt>
                <c:pt idx="748">
                  <c:v>-11.395565120349683</c:v>
                </c:pt>
                <c:pt idx="749">
                  <c:v>-11.40917941646974</c:v>
                </c:pt>
                <c:pt idx="750">
                  <c:v>-11.422793750662612</c:v>
                </c:pt>
                <c:pt idx="751">
                  <c:v>-11.436408122927887</c:v>
                </c:pt>
                <c:pt idx="752">
                  <c:v>-11.450022533265157</c:v>
                </c:pt>
                <c:pt idx="753">
                  <c:v>-11.463636981674012</c:v>
                </c:pt>
                <c:pt idx="754">
                  <c:v>-11.477251468154044</c:v>
                </c:pt>
                <c:pt idx="755">
                  <c:v>-11.490865992704844</c:v>
                </c:pt>
                <c:pt idx="756">
                  <c:v>-11.504480555326001</c:v>
                </c:pt>
                <c:pt idx="757">
                  <c:v>-11.518095156017106</c:v>
                </c:pt>
                <c:pt idx="758">
                  <c:v>-11.531709794777749</c:v>
                </c:pt>
                <c:pt idx="759">
                  <c:v>-11.545324471607522</c:v>
                </c:pt>
                <c:pt idx="760">
                  <c:v>-11.558939186506015</c:v>
                </c:pt>
                <c:pt idx="761">
                  <c:v>-11.572553939472817</c:v>
                </c:pt>
                <c:pt idx="762">
                  <c:v>-11.58616873050752</c:v>
                </c:pt>
                <c:pt idx="763">
                  <c:v>-11.599783559609715</c:v>
                </c:pt>
                <c:pt idx="764">
                  <c:v>-11.613398426778993</c:v>
                </c:pt>
                <c:pt idx="765">
                  <c:v>-11.627013332014942</c:v>
                </c:pt>
                <c:pt idx="766">
                  <c:v>-11.640628275317153</c:v>
                </c:pt>
                <c:pt idx="767">
                  <c:v>-11.65424325668522</c:v>
                </c:pt>
                <c:pt idx="768">
                  <c:v>-11.66785827611873</c:v>
                </c:pt>
                <c:pt idx="769">
                  <c:v>-11.681473333617276</c:v>
                </c:pt>
                <c:pt idx="770">
                  <c:v>-11.695088429180448</c:v>
                </c:pt>
                <c:pt idx="771">
                  <c:v>-11.708703562807834</c:v>
                </c:pt>
                <c:pt idx="772">
                  <c:v>-11.722318734499028</c:v>
                </c:pt>
                <c:pt idx="773">
                  <c:v>-11.735933944253619</c:v>
                </c:pt>
                <c:pt idx="774">
                  <c:v>-11.749549192071198</c:v>
                </c:pt>
                <c:pt idx="775">
                  <c:v>-11.763164477951355</c:v>
                </c:pt>
                <c:pt idx="776">
                  <c:v>-11.776779801893682</c:v>
                </c:pt>
                <c:pt idx="777">
                  <c:v>-11.790395163897767</c:v>
                </c:pt>
                <c:pt idx="778">
                  <c:v>-11.804010563963203</c:v>
                </c:pt>
                <c:pt idx="779">
                  <c:v>-11.817626002089581</c:v>
                </c:pt>
                <c:pt idx="780">
                  <c:v>-11.831241478276489</c:v>
                </c:pt>
                <c:pt idx="781">
                  <c:v>-11.844856992523519</c:v>
                </c:pt>
                <c:pt idx="782">
                  <c:v>-11.858472544830262</c:v>
                </c:pt>
                <c:pt idx="783">
                  <c:v>-11.872088135196307</c:v>
                </c:pt>
                <c:pt idx="784">
                  <c:v>-11.885703763621247</c:v>
                </c:pt>
                <c:pt idx="785">
                  <c:v>-11.899319430104672</c:v>
                </c:pt>
                <c:pt idx="786">
                  <c:v>-11.912935134646171</c:v>
                </c:pt>
                <c:pt idx="787">
                  <c:v>-11.926550877245335</c:v>
                </c:pt>
                <c:pt idx="788">
                  <c:v>-11.940166657901756</c:v>
                </c:pt>
                <c:pt idx="789">
                  <c:v>-11.953782476615023</c:v>
                </c:pt>
                <c:pt idx="790">
                  <c:v>-11.967398333384729</c:v>
                </c:pt>
                <c:pt idx="791">
                  <c:v>-11.981014228210462</c:v>
                </c:pt>
                <c:pt idx="792">
                  <c:v>-11.994630161091814</c:v>
                </c:pt>
                <c:pt idx="793">
                  <c:v>-12.008246132028376</c:v>
                </c:pt>
                <c:pt idx="794">
                  <c:v>-12.021862141019737</c:v>
                </c:pt>
                <c:pt idx="795">
                  <c:v>-12.03547818806549</c:v>
                </c:pt>
                <c:pt idx="796">
                  <c:v>-12.049094273165222</c:v>
                </c:pt>
                <c:pt idx="797">
                  <c:v>-12.062710396318527</c:v>
                </c:pt>
                <c:pt idx="798">
                  <c:v>-12.076326557524995</c:v>
                </c:pt>
                <c:pt idx="799">
                  <c:v>-12.089942756784216</c:v>
                </c:pt>
                <c:pt idx="800">
                  <c:v>-12.103558994095781</c:v>
                </c:pt>
                <c:pt idx="801">
                  <c:v>-12.117175269459279</c:v>
                </c:pt>
                <c:pt idx="802">
                  <c:v>-12.130791582874302</c:v>
                </c:pt>
                <c:pt idx="803">
                  <c:v>-12.144407934340441</c:v>
                </c:pt>
                <c:pt idx="804">
                  <c:v>-12.158024323857285</c:v>
                </c:pt>
                <c:pt idx="805">
                  <c:v>-12.171640751424427</c:v>
                </c:pt>
                <c:pt idx="806">
                  <c:v>-12.185257217041457</c:v>
                </c:pt>
                <c:pt idx="807">
                  <c:v>-12.198873720707965</c:v>
                </c:pt>
                <c:pt idx="808">
                  <c:v>-12.212490262423541</c:v>
                </c:pt>
                <c:pt idx="809">
                  <c:v>-12.226106842187777</c:v>
                </c:pt>
                <c:pt idx="810">
                  <c:v>-12.239723460000263</c:v>
                </c:pt>
                <c:pt idx="811">
                  <c:v>-12.25334011586059</c:v>
                </c:pt>
                <c:pt idx="812">
                  <c:v>-12.266956809768349</c:v>
                </c:pt>
                <c:pt idx="813">
                  <c:v>-12.280573541723129</c:v>
                </c:pt>
                <c:pt idx="814">
                  <c:v>-12.294190311724522</c:v>
                </c:pt>
                <c:pt idx="815">
                  <c:v>-12.307807119772118</c:v>
                </c:pt>
                <c:pt idx="816">
                  <c:v>-12.321423965865508</c:v>
                </c:pt>
                <c:pt idx="817">
                  <c:v>-12.335040850004281</c:v>
                </c:pt>
                <c:pt idx="818">
                  <c:v>-12.34865777218803</c:v>
                </c:pt>
                <c:pt idx="819">
                  <c:v>-12.362274732416346</c:v>
                </c:pt>
                <c:pt idx="820">
                  <c:v>-12.375891730688817</c:v>
                </c:pt>
                <c:pt idx="821">
                  <c:v>-12.389508767005037</c:v>
                </c:pt>
                <c:pt idx="822">
                  <c:v>-12.403125841364593</c:v>
                </c:pt>
                <c:pt idx="823">
                  <c:v>-12.416742953767079</c:v>
                </c:pt>
                <c:pt idx="824">
                  <c:v>-12.430360104212083</c:v>
                </c:pt>
                <c:pt idx="825">
                  <c:v>-12.443977292699197</c:v>
                </c:pt>
                <c:pt idx="826">
                  <c:v>-12.457594519228012</c:v>
                </c:pt>
                <c:pt idx="827">
                  <c:v>-12.471211783798118</c:v>
                </c:pt>
                <c:pt idx="828">
                  <c:v>-12.484829086409105</c:v>
                </c:pt>
                <c:pt idx="829">
                  <c:v>-12.498446427060564</c:v>
                </c:pt>
                <c:pt idx="830">
                  <c:v>-12.512063805752087</c:v>
                </c:pt>
                <c:pt idx="831">
                  <c:v>-12.525681222483264</c:v>
                </c:pt>
                <c:pt idx="832">
                  <c:v>-12.539298677253685</c:v>
                </c:pt>
                <c:pt idx="833">
                  <c:v>-12.552916170062941</c:v>
                </c:pt>
                <c:pt idx="834">
                  <c:v>-12.566533700910623</c:v>
                </c:pt>
                <c:pt idx="835">
                  <c:v>-12.580151269796323</c:v>
                </c:pt>
                <c:pt idx="836">
                  <c:v>-12.593768876719629</c:v>
                </c:pt>
                <c:pt idx="837">
                  <c:v>-12.607386521680134</c:v>
                </c:pt>
                <c:pt idx="838">
                  <c:v>-12.621004204677426</c:v>
                </c:pt>
                <c:pt idx="839">
                  <c:v>-12.634621925711098</c:v>
                </c:pt>
                <c:pt idx="840">
                  <c:v>-12.648239684780739</c:v>
                </c:pt>
                <c:pt idx="841">
                  <c:v>-12.66185748188594</c:v>
                </c:pt>
                <c:pt idx="842">
                  <c:v>-12.675475317026294</c:v>
                </c:pt>
                <c:pt idx="843">
                  <c:v>-12.689093190201389</c:v>
                </c:pt>
                <c:pt idx="844">
                  <c:v>-12.702711101410816</c:v>
                </c:pt>
                <c:pt idx="845">
                  <c:v>-12.716329050654167</c:v>
                </c:pt>
                <c:pt idx="846">
                  <c:v>-12.729947037931032</c:v>
                </c:pt>
                <c:pt idx="847">
                  <c:v>-12.743565063241002</c:v>
                </c:pt>
                <c:pt idx="848">
                  <c:v>-12.757183126583667</c:v>
                </c:pt>
                <c:pt idx="849">
                  <c:v>-12.77080122795862</c:v>
                </c:pt>
                <c:pt idx="850">
                  <c:v>-12.784419367365448</c:v>
                </c:pt>
                <c:pt idx="851">
                  <c:v>-12.798037544803744</c:v>
                </c:pt>
                <c:pt idx="852">
                  <c:v>-12.811655760273098</c:v>
                </c:pt>
                <c:pt idx="853">
                  <c:v>-12.8252740137731</c:v>
                </c:pt>
                <c:pt idx="854">
                  <c:v>-12.838892305303343</c:v>
                </c:pt>
                <c:pt idx="855">
                  <c:v>-12.852510634863416</c:v>
                </c:pt>
                <c:pt idx="856">
                  <c:v>-12.86612900245291</c:v>
                </c:pt>
                <c:pt idx="857">
                  <c:v>-12.879747408071415</c:v>
                </c:pt>
                <c:pt idx="858">
                  <c:v>-12.893365851718523</c:v>
                </c:pt>
                <c:pt idx="859">
                  <c:v>-12.906984333393824</c:v>
                </c:pt>
                <c:pt idx="860">
                  <c:v>-12.920602853096909</c:v>
                </c:pt>
                <c:pt idx="861">
                  <c:v>-12.934221410827368</c:v>
                </c:pt>
                <c:pt idx="862">
                  <c:v>-12.947840006584793</c:v>
                </c:pt>
                <c:pt idx="863">
                  <c:v>-12.961458640368773</c:v>
                </c:pt>
                <c:pt idx="864">
                  <c:v>-12.9750773121789</c:v>
                </c:pt>
                <c:pt idx="865">
                  <c:v>-12.988696022014764</c:v>
                </c:pt>
                <c:pt idx="866">
                  <c:v>-13.002314769875957</c:v>
                </c:pt>
                <c:pt idx="867">
                  <c:v>-13.015933555762068</c:v>
                </c:pt>
                <c:pt idx="868">
                  <c:v>-13.029552379672689</c:v>
                </c:pt>
                <c:pt idx="869">
                  <c:v>-13.043171241607411</c:v>
                </c:pt>
                <c:pt idx="870">
                  <c:v>-13.056790141565823</c:v>
                </c:pt>
                <c:pt idx="871">
                  <c:v>-13.070409079547517</c:v>
                </c:pt>
                <c:pt idx="872">
                  <c:v>-13.084028055552084</c:v>
                </c:pt>
                <c:pt idx="873">
                  <c:v>-13.097647069579114</c:v>
                </c:pt>
                <c:pt idx="874">
                  <c:v>-13.111266121628198</c:v>
                </c:pt>
                <c:pt idx="875">
                  <c:v>-13.124885211698926</c:v>
                </c:pt>
                <c:pt idx="876">
                  <c:v>-13.13850433979089</c:v>
                </c:pt>
                <c:pt idx="877">
                  <c:v>-13.152123505903679</c:v>
                </c:pt>
                <c:pt idx="878">
                  <c:v>-13.165742710036886</c:v>
                </c:pt>
                <c:pt idx="879">
                  <c:v>-13.179361952190101</c:v>
                </c:pt>
                <c:pt idx="880">
                  <c:v>-13.192981232362914</c:v>
                </c:pt>
                <c:pt idx="881">
                  <c:v>-13.206600550554915</c:v>
                </c:pt>
                <c:pt idx="882">
                  <c:v>-13.220219906765697</c:v>
                </c:pt>
                <c:pt idx="883">
                  <c:v>-13.23383930099485</c:v>
                </c:pt>
                <c:pt idx="884">
                  <c:v>-13.247458733241963</c:v>
                </c:pt>
                <c:pt idx="885">
                  <c:v>-13.261078203506628</c:v>
                </c:pt>
                <c:pt idx="886">
                  <c:v>-13.274697711788436</c:v>
                </c:pt>
                <c:pt idx="887">
                  <c:v>-13.288317258086977</c:v>
                </c:pt>
                <c:pt idx="888">
                  <c:v>-13.301936842401842</c:v>
                </c:pt>
                <c:pt idx="889">
                  <c:v>-13.315556464732623</c:v>
                </c:pt>
                <c:pt idx="890">
                  <c:v>-13.329176125078909</c:v>
                </c:pt>
                <c:pt idx="891">
                  <c:v>-13.342795823440293</c:v>
                </c:pt>
                <c:pt idx="892">
                  <c:v>-13.356415559816364</c:v>
                </c:pt>
                <c:pt idx="893">
                  <c:v>-13.370035334206714</c:v>
                </c:pt>
                <c:pt idx="894">
                  <c:v>-13.383655146610931</c:v>
                </c:pt>
                <c:pt idx="895">
                  <c:v>-13.397274997028608</c:v>
                </c:pt>
                <c:pt idx="896">
                  <c:v>-13.410894885459335</c:v>
                </c:pt>
                <c:pt idx="897">
                  <c:v>-13.424514811902704</c:v>
                </c:pt>
                <c:pt idx="898">
                  <c:v>-13.438134776358304</c:v>
                </c:pt>
                <c:pt idx="899">
                  <c:v>-13.451754778825727</c:v>
                </c:pt>
                <c:pt idx="900">
                  <c:v>-13.465374819304563</c:v>
                </c:pt>
                <c:pt idx="901">
                  <c:v>-13.478994897794403</c:v>
                </c:pt>
                <c:pt idx="902">
                  <c:v>-13.492615014294838</c:v>
                </c:pt>
                <c:pt idx="903">
                  <c:v>-13.506235168805459</c:v>
                </c:pt>
                <c:pt idx="904">
                  <c:v>-13.519855361325856</c:v>
                </c:pt>
                <c:pt idx="905">
                  <c:v>-13.533475591855622</c:v>
                </c:pt>
                <c:pt idx="906">
                  <c:v>-13.547095860394345</c:v>
                </c:pt>
                <c:pt idx="907">
                  <c:v>-13.560716166941617</c:v>
                </c:pt>
                <c:pt idx="908">
                  <c:v>-13.574336511497028</c:v>
                </c:pt>
                <c:pt idx="909">
                  <c:v>-13.58795689406017</c:v>
                </c:pt>
                <c:pt idx="910">
                  <c:v>-13.601577314630633</c:v>
                </c:pt>
                <c:pt idx="911">
                  <c:v>-13.615197773208008</c:v>
                </c:pt>
                <c:pt idx="912">
                  <c:v>-13.628818269791886</c:v>
                </c:pt>
                <c:pt idx="913">
                  <c:v>-13.642438804381856</c:v>
                </c:pt>
                <c:pt idx="914">
                  <c:v>-13.656059376977511</c:v>
                </c:pt>
                <c:pt idx="915">
                  <c:v>-13.669679987578441</c:v>
                </c:pt>
                <c:pt idx="916">
                  <c:v>-13.683300636184237</c:v>
                </c:pt>
                <c:pt idx="917">
                  <c:v>-13.696921322794489</c:v>
                </c:pt>
                <c:pt idx="918">
                  <c:v>-13.71054204740879</c:v>
                </c:pt>
                <c:pt idx="919">
                  <c:v>-13.724162810026728</c:v>
                </c:pt>
                <c:pt idx="920">
                  <c:v>-13.737783610647895</c:v>
                </c:pt>
                <c:pt idx="921">
                  <c:v>-13.751404449271883</c:v>
                </c:pt>
                <c:pt idx="922">
                  <c:v>-13.76502532589828</c:v>
                </c:pt>
                <c:pt idx="923">
                  <c:v>-13.77864624052668</c:v>
                </c:pt>
                <c:pt idx="924">
                  <c:v>-13.79226719315667</c:v>
                </c:pt>
                <c:pt idx="925">
                  <c:v>-13.805888183787845</c:v>
                </c:pt>
                <c:pt idx="926">
                  <c:v>-13.819509212419794</c:v>
                </c:pt>
                <c:pt idx="927">
                  <c:v>-13.833130279052106</c:v>
                </c:pt>
                <c:pt idx="928">
                  <c:v>-13.846751383684374</c:v>
                </c:pt>
                <c:pt idx="929">
                  <c:v>-13.860372526316189</c:v>
                </c:pt>
                <c:pt idx="930">
                  <c:v>-13.87399370694714</c:v>
                </c:pt>
                <c:pt idx="931">
                  <c:v>-13.887614925576818</c:v>
                </c:pt>
                <c:pt idx="932">
                  <c:v>-13.901236182204816</c:v>
                </c:pt>
                <c:pt idx="933">
                  <c:v>-13.914857476830722</c:v>
                </c:pt>
                <c:pt idx="934">
                  <c:v>-13.928478809454129</c:v>
                </c:pt>
                <c:pt idx="935">
                  <c:v>-13.942100180074627</c:v>
                </c:pt>
                <c:pt idx="936">
                  <c:v>-13.955721588691807</c:v>
                </c:pt>
                <c:pt idx="937">
                  <c:v>-13.969343035305259</c:v>
                </c:pt>
                <c:pt idx="938">
                  <c:v>-13.982964519914576</c:v>
                </c:pt>
                <c:pt idx="939">
                  <c:v>-13.996586042519347</c:v>
                </c:pt>
                <c:pt idx="940">
                  <c:v>-14.010207603119163</c:v>
                </c:pt>
                <c:pt idx="941">
                  <c:v>-14.023829201713616</c:v>
                </c:pt>
                <c:pt idx="942">
                  <c:v>-14.037450838302295</c:v>
                </c:pt>
                <c:pt idx="943">
                  <c:v>-14.051072512884792</c:v>
                </c:pt>
                <c:pt idx="944">
                  <c:v>-14.064694225460697</c:v>
                </c:pt>
                <c:pt idx="945">
                  <c:v>-14.078315976029602</c:v>
                </c:pt>
                <c:pt idx="946">
                  <c:v>-14.091937764591096</c:v>
                </c:pt>
                <c:pt idx="947">
                  <c:v>-14.105559591144772</c:v>
                </c:pt>
                <c:pt idx="948">
                  <c:v>-14.119181455690219</c:v>
                </c:pt>
                <c:pt idx="949">
                  <c:v>-14.132803358227029</c:v>
                </c:pt>
                <c:pt idx="950">
                  <c:v>-14.146425298754792</c:v>
                </c:pt>
                <c:pt idx="951">
                  <c:v>-14.160047277273101</c:v>
                </c:pt>
                <c:pt idx="952">
                  <c:v>-14.173669293781543</c:v>
                </c:pt>
                <c:pt idx="953">
                  <c:v>-14.187291348279713</c:v>
                </c:pt>
                <c:pt idx="954">
                  <c:v>-14.200913440767199</c:v>
                </c:pt>
                <c:pt idx="955">
                  <c:v>-14.214535571243593</c:v>
                </c:pt>
                <c:pt idx="956">
                  <c:v>-14.228157739708484</c:v>
                </c:pt>
                <c:pt idx="957">
                  <c:v>-14.241779946161465</c:v>
                </c:pt>
                <c:pt idx="958">
                  <c:v>-14.255402190602126</c:v>
                </c:pt>
                <c:pt idx="959">
                  <c:v>-14.269024473030059</c:v>
                </c:pt>
                <c:pt idx="960">
                  <c:v>-14.282646793444854</c:v>
                </c:pt>
                <c:pt idx="961">
                  <c:v>-14.296269151846102</c:v>
                </c:pt>
                <c:pt idx="962">
                  <c:v>-14.309891548233393</c:v>
                </c:pt>
                <c:pt idx="963">
                  <c:v>-14.323513982606318</c:v>
                </c:pt>
                <c:pt idx="964">
                  <c:v>-14.337136454964469</c:v>
                </c:pt>
                <c:pt idx="965">
                  <c:v>-14.350758965307437</c:v>
                </c:pt>
                <c:pt idx="966">
                  <c:v>-14.364381513634811</c:v>
                </c:pt>
                <c:pt idx="967">
                  <c:v>-14.378004099946184</c:v>
                </c:pt>
                <c:pt idx="968">
                  <c:v>-14.391626724241144</c:v>
                </c:pt>
                <c:pt idx="969">
                  <c:v>-14.405249386519284</c:v>
                </c:pt>
                <c:pt idx="970">
                  <c:v>-14.418872086780194</c:v>
                </c:pt>
                <c:pt idx="971">
                  <c:v>-14.432494825023467</c:v>
                </c:pt>
                <c:pt idx="972">
                  <c:v>-14.446117601248691</c:v>
                </c:pt>
                <c:pt idx="973">
                  <c:v>-14.459740415455459</c:v>
                </c:pt>
                <c:pt idx="974">
                  <c:v>-14.473363267643361</c:v>
                </c:pt>
                <c:pt idx="975">
                  <c:v>-14.486986157811987</c:v>
                </c:pt>
                <c:pt idx="976">
                  <c:v>-14.50060908596093</c:v>
                </c:pt>
                <c:pt idx="977">
                  <c:v>-14.514232052089778</c:v>
                </c:pt>
                <c:pt idx="978">
                  <c:v>-14.527855056198124</c:v>
                </c:pt>
                <c:pt idx="979">
                  <c:v>-14.541478098285559</c:v>
                </c:pt>
                <c:pt idx="980">
                  <c:v>-14.555101178351673</c:v>
                </c:pt>
                <c:pt idx="981">
                  <c:v>-14.568724296396057</c:v>
                </c:pt>
                <c:pt idx="982">
                  <c:v>-14.582347452418302</c:v>
                </c:pt>
                <c:pt idx="983">
                  <c:v>-14.595970646417999</c:v>
                </c:pt>
                <c:pt idx="984">
                  <c:v>-14.609593878394739</c:v>
                </c:pt>
                <c:pt idx="985">
                  <c:v>-14.623217148348111</c:v>
                </c:pt>
                <c:pt idx="986">
                  <c:v>-14.636840456277708</c:v>
                </c:pt>
                <c:pt idx="987">
                  <c:v>-14.650463802183122</c:v>
                </c:pt>
                <c:pt idx="988">
                  <c:v>-14.664087186063941</c:v>
                </c:pt>
                <c:pt idx="989">
                  <c:v>-14.677710607919758</c:v>
                </c:pt>
                <c:pt idx="990">
                  <c:v>-14.691334067750162</c:v>
                </c:pt>
                <c:pt idx="991">
                  <c:v>-14.704957565554746</c:v>
                </c:pt>
                <c:pt idx="992">
                  <c:v>-14.7185811013331</c:v>
                </c:pt>
                <c:pt idx="993">
                  <c:v>-14.732204675084814</c:v>
                </c:pt>
                <c:pt idx="994">
                  <c:v>-14.745828286809481</c:v>
                </c:pt>
                <c:pt idx="995">
                  <c:v>-14.759451936506689</c:v>
                </c:pt>
                <c:pt idx="996">
                  <c:v>-14.77307562417603</c:v>
                </c:pt>
                <c:pt idx="997">
                  <c:v>-14.786699349817097</c:v>
                </c:pt>
                <c:pt idx="998">
                  <c:v>-14.800323113429478</c:v>
                </c:pt>
                <c:pt idx="999">
                  <c:v>-14.813946915012766</c:v>
                </c:pt>
                <c:pt idx="1000">
                  <c:v>-14.827570754566549</c:v>
                </c:pt>
              </c:numCache>
            </c:numRef>
          </c:yVal>
          <c:smooth val="1"/>
          <c:extLst>
            <c:ext xmlns:c16="http://schemas.microsoft.com/office/drawing/2014/chart" uri="{C3380CC4-5D6E-409C-BE32-E72D297353CC}">
              <c16:uniqueId val="{00000002-2EC3-45DE-9EED-17088B7968F0}"/>
            </c:ext>
          </c:extLst>
        </c:ser>
        <c:ser>
          <c:idx val="4"/>
          <c:order val="3"/>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EC3-45DE-9EED-17088B7968F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Trajecto!$B$140:$B$146</c:f>
              <c:numCache>
                <c:formatCode>0</c:formatCode>
                <c:ptCount val="7"/>
                <c:pt idx="0">
                  <c:v>0</c:v>
                </c:pt>
                <c:pt idx="1">
                  <c:v>0</c:v>
                </c:pt>
                <c:pt idx="2">
                  <c:v>0</c:v>
                </c:pt>
                <c:pt idx="3">
                  <c:v>0</c:v>
                </c:pt>
                <c:pt idx="4">
                  <c:v>0</c:v>
                </c:pt>
                <c:pt idx="5">
                  <c:v>0</c:v>
                </c:pt>
                <c:pt idx="6">
                  <c:v>0</c:v>
                </c:pt>
              </c:numCache>
            </c:numRef>
          </c:xVal>
          <c:yVal>
            <c:numRef>
              <c:f>Trajecto!$C$138:$C$144</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2EC3-45DE-9EED-17088B7968F0}"/>
            </c:ext>
          </c:extLst>
        </c:ser>
        <c:ser>
          <c:idx val="5"/>
          <c:order val="4"/>
          <c:tx>
            <c:strRef>
              <c:f>Trajecto!$B$106</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0</c:v>
                </c:pt>
                <c:pt idx="1">
                  <c:v>0</c:v>
                </c:pt>
                <c:pt idx="2">
                  <c:v>1.5631936909883714E-4</c:v>
                </c:pt>
                <c:pt idx="3">
                  <c:v>7.8550326380374459E-4</c:v>
                </c:pt>
                <c:pt idx="4">
                  <c:v>2.2081288032777301E-3</c:v>
                </c:pt>
                <c:pt idx="5">
                  <c:v>4.7450678833001539E-3</c:v>
                </c:pt>
                <c:pt idx="6">
                  <c:v>8.6364034645991135E-3</c:v>
                </c:pt>
                <c:pt idx="7">
                  <c:v>1.3960162340363059E-2</c:v>
                </c:pt>
                <c:pt idx="8">
                  <c:v>2.071326764051111E-2</c:v>
                </c:pt>
                <c:pt idx="9">
                  <c:v>2.8892631188099566E-2</c:v>
                </c:pt>
                <c:pt idx="10">
                  <c:v>3.8495153537948537E-2</c:v>
                </c:pt>
                <c:pt idx="11">
                  <c:v>4.9517724015563327E-2</c:v>
                </c:pt>
                <c:pt idx="12">
                  <c:v>6.1957220756348269E-2</c:v>
                </c:pt>
                <c:pt idx="13">
                  <c:v>7.5810510745110721E-2</c:v>
                </c:pt>
                <c:pt idx="14">
                  <c:v>9.1074449855852765E-2</c:v>
                </c:pt>
                <c:pt idx="15">
                  <c:v>0.10774588289184846</c:v>
                </c:pt>
                <c:pt idx="16">
                  <c:v>0.12582164362600401</c:v>
                </c:pt>
                <c:pt idx="17">
                  <c:v>0.14529855484149876</c:v>
                </c:pt>
                <c:pt idx="18">
                  <c:v>0.16617342837270424</c:v>
                </c:pt>
                <c:pt idx="19">
                  <c:v>0.18844306514637918</c:v>
                </c:pt>
                <c:pt idx="20">
                  <c:v>0.21210425522313792</c:v>
                </c:pt>
                <c:pt idx="21">
                  <c:v>0.23715377783918953</c:v>
                </c:pt>
                <c:pt idx="22">
                  <c:v>0.26358840144834567</c:v>
                </c:pt>
                <c:pt idx="23">
                  <c:v>0.29140488376429419</c:v>
                </c:pt>
                <c:pt idx="24">
                  <c:v>0.32059997180313626</c:v>
                </c:pt>
                <c:pt idx="25">
                  <c:v>0.35117040192618432</c:v>
                </c:pt>
                <c:pt idx="26">
                  <c:v>0.38311289988301866</c:v>
                </c:pt>
                <c:pt idx="27">
                  <c:v>0.41642418085479949</c:v>
                </c:pt>
                <c:pt idx="28">
                  <c:v>0.45110094949783253</c:v>
                </c:pt>
                <c:pt idx="29">
                  <c:v>0.48713989998738527</c:v>
                </c:pt>
                <c:pt idx="30">
                  <c:v>0.52453771606175126</c:v>
                </c:pt>
                <c:pt idx="31">
                  <c:v>0.56329107106655985</c:v>
                </c:pt>
                <c:pt idx="32">
                  <c:v>0.60339662799932881</c:v>
                </c:pt>
                <c:pt idx="33">
                  <c:v>0.64485103955425727</c:v>
                </c:pt>
                <c:pt idx="34">
                  <c:v>0.68765094816725625</c:v>
                </c:pt>
                <c:pt idx="35">
                  <c:v>0.73179298606121401</c:v>
                </c:pt>
                <c:pt idx="36">
                  <c:v>0.77735769229464513</c:v>
                </c:pt>
                <c:pt idx="37">
                  <c:v>0.82442828466501361</c:v>
                </c:pt>
                <c:pt idx="38">
                  <c:v>0.87300670304832839</c:v>
                </c:pt>
                <c:pt idx="39">
                  <c:v>0.92309476208632923</c:v>
                </c:pt>
                <c:pt idx="40">
                  <c:v>0.97469411913530202</c:v>
                </c:pt>
                <c:pt idx="41">
                  <c:v>1.0278062814294457</c:v>
                </c:pt>
                <c:pt idx="42">
                  <c:v>1.0824326127043136</c:v>
                </c:pt>
                <c:pt idx="43">
                  <c:v>1.1385743393343224</c:v>
                </c:pt>
                <c:pt idx="44">
                  <c:v>1.1962325560316953</c:v>
                </c:pt>
                <c:pt idx="45">
                  <c:v>1.2554082311485357</c:v>
                </c:pt>
                <c:pt idx="46">
                  <c:v>1.3161022116188561</c:v>
                </c:pt>
                <c:pt idx="47">
                  <c:v>1.378315227573186</c:v>
                </c:pt>
                <c:pt idx="48">
                  <c:v>1.442047896654747</c:v>
                </c:pt>
                <c:pt idx="49">
                  <c:v>1.5073007280630228</c:v>
                </c:pt>
                <c:pt idx="50">
                  <c:v>1.5740741263478035</c:v>
                </c:pt>
                <c:pt idx="51">
                  <c:v>1.6423688415685693</c:v>
                </c:pt>
                <c:pt idx="52">
                  <c:v>1.7121864232826374</c:v>
                </c:pt>
                <c:pt idx="53">
                  <c:v>1.7835287824188479</c:v>
                </c:pt>
                <c:pt idx="54">
                  <c:v>1.8563977487748056</c:v>
                </c:pt>
                <c:pt idx="55">
                  <c:v>1.9307950735265267</c:v>
                </c:pt>
                <c:pt idx="56">
                  <c:v>2.0067224316036958</c:v>
                </c:pt>
                <c:pt idx="57">
                  <c:v>2.0841814239401626</c:v>
                </c:pt>
                <c:pt idx="58">
                  <c:v>2.1631735796084643</c:v>
                </c:pt>
                <c:pt idx="59">
                  <c:v>2.2437003578463917</c:v>
                </c:pt>
                <c:pt idx="60">
                  <c:v>2.3257631499829303</c:v>
                </c:pt>
                <c:pt idx="61">
                  <c:v>2.4093632812703012</c:v>
                </c:pt>
                <c:pt idx="62">
                  <c:v>2.4945020126282627</c:v>
                </c:pt>
                <c:pt idx="63">
                  <c:v>2.5811805423063396</c:v>
                </c:pt>
                <c:pt idx="64">
                  <c:v>2.6694000074691968</c:v>
                </c:pt>
                <c:pt idx="65">
                  <c:v>2.7591614857099533</c:v>
                </c:pt>
                <c:pt idx="66">
                  <c:v>2.8504659964958816</c:v>
                </c:pt>
                <c:pt idx="67">
                  <c:v>2.943314502550578</c:v>
                </c:pt>
                <c:pt idx="68">
                  <c:v>3.0377079111764012</c:v>
                </c:pt>
                <c:pt idx="69">
                  <c:v>3.1336470755206869</c:v>
                </c:pt>
                <c:pt idx="70">
                  <c:v>3.2311327957889922</c:v>
                </c:pt>
                <c:pt idx="71">
                  <c:v>3.3301658204083964</c:v>
                </c:pt>
                <c:pt idx="72">
                  <c:v>3.4307468471436642</c:v>
                </c:pt>
                <c:pt idx="73">
                  <c:v>3.5328765241688873</c:v>
                </c:pt>
                <c:pt idx="74">
                  <c:v>3.6365554510970384</c:v>
                </c:pt>
                <c:pt idx="75">
                  <c:v>3.741784179969708</c:v>
                </c:pt>
                <c:pt idx="76">
                  <c:v>3.8485632162091452</c:v>
                </c:pt>
                <c:pt idx="77">
                  <c:v>3.9568930195345793</c:v>
                </c:pt>
                <c:pt idx="78">
                  <c:v>4.0667740048446737</c:v>
                </c:pt>
                <c:pt idx="79">
                  <c:v>4.1782065430678497</c:v>
                </c:pt>
                <c:pt idx="80">
                  <c:v>4.2911909619820925</c:v>
                </c:pt>
                <c:pt idx="81">
                  <c:v>4.4057275470057782</c:v>
                </c:pt>
                <c:pt idx="82">
                  <c:v>4.5218165419609289</c:v>
                </c:pt>
                <c:pt idx="83">
                  <c:v>4.6394581498102569</c:v>
                </c:pt>
                <c:pt idx="84">
                  <c:v>4.7586525333692462</c:v>
                </c:pt>
                <c:pt idx="85">
                  <c:v>4.8793998159944589</c:v>
                </c:pt>
                <c:pt idx="86">
                  <c:v>5.0017000822491893</c:v>
                </c:pt>
                <c:pt idx="87">
                  <c:v>5.125553378547508</c:v>
                </c:pt>
                <c:pt idx="88">
                  <c:v>5.2509597137776947</c:v>
                </c:pt>
                <c:pt idx="89">
                  <c:v>5.3779190599059863</c:v>
                </c:pt>
                <c:pt idx="90">
                  <c:v>5.5064313525615365</c:v>
                </c:pt>
                <c:pt idx="91">
                  <c:v>5.6364964916034062</c:v>
                </c:pt>
                <c:pt idx="92">
                  <c:v>5.7681143416703815</c:v>
                </c:pt>
                <c:pt idx="93">
                  <c:v>5.9012847327143616</c:v>
                </c:pt>
                <c:pt idx="94">
                  <c:v>6.0360074605180252</c:v>
                </c:pt>
                <c:pt idx="95">
                  <c:v>6.172282287197441</c:v>
                </c:pt>
                <c:pt idx="96">
                  <c:v>6.3101089416902543</c:v>
                </c:pt>
                <c:pt idx="97">
                  <c:v>6.4494871202300539</c:v>
                </c:pt>
                <c:pt idx="98">
                  <c:v>6.590416486807487</c:v>
                </c:pt>
                <c:pt idx="99">
                  <c:v>6.7328966736186615</c:v>
                </c:pt>
                <c:pt idx="100">
                  <c:v>6.8769272815013487</c:v>
                </c:pt>
                <c:pt idx="101">
                  <c:v>7.0225076554372281</c:v>
                </c:pt>
                <c:pt idx="102">
                  <c:v>7.1696366589054188</c:v>
                </c:pt>
                <c:pt idx="103">
                  <c:v>7.3183128977181013</c:v>
                </c:pt>
                <c:pt idx="104">
                  <c:v>7.4685349450085319</c:v>
                </c:pt>
                <c:pt idx="105">
                  <c:v>7.6203013416631071</c:v>
                </c:pt>
                <c:pt idx="106">
                  <c:v>7.7736105967426132</c:v>
                </c:pt>
                <c:pt idx="107">
                  <c:v>7.9284611878930713</c:v>
                </c:pt>
                <c:pt idx="108">
                  <c:v>8.0848515617465715</c:v>
                </c:pt>
                <c:pt idx="109">
                  <c:v>8.242780134312488</c:v>
                </c:pt>
                <c:pt idx="110">
                  <c:v>8.4022452913594172</c:v>
                </c:pt>
                <c:pt idx="111">
                  <c:v>8.5632453887881983</c:v>
                </c:pt>
                <c:pt idx="112">
                  <c:v>8.7257787529963426</c:v>
                </c:pt>
                <c:pt idx="113">
                  <c:v>8.8898436812341703</c:v>
                </c:pt>
                <c:pt idx="114">
                  <c:v>9.0554384419529708</c:v>
                </c:pt>
                <c:pt idx="115">
                  <c:v>9.222561275145468</c:v>
                </c:pt>
                <c:pt idx="116">
                  <c:v>9.3912103926788557</c:v>
                </c:pt>
                <c:pt idx="117">
                  <c:v>9.56138397862067</c:v>
                </c:pt>
                <c:pt idx="118">
                  <c:v>9.7330801895577519</c:v>
                </c:pt>
                <c:pt idx="119">
                  <c:v>9.906297154908529</c:v>
                </c:pt>
                <c:pt idx="120">
                  <c:v>10.081032977228853</c:v>
                </c:pt>
                <c:pt idx="121">
                  <c:v>10.25728573251161</c:v>
                </c:pt>
                <c:pt idx="122">
                  <c:v>10.435053470480307</c:v>
                </c:pt>
                <c:pt idx="123">
                  <c:v>10.614334214876846</c:v>
                </c:pt>
                <c:pt idx="124">
                  <c:v>10.795125963743665</c:v>
                </c:pt>
                <c:pt idx="125">
                  <c:v>10.977426689700444</c:v>
                </c:pt>
                <c:pt idx="126">
                  <c:v>11.161234340215545</c:v>
                </c:pt>
                <c:pt idx="127">
                  <c:v>11.346546837872349</c:v>
                </c:pt>
                <c:pt idx="128">
                  <c:v>11.533362080630674</c:v>
                </c:pt>
                <c:pt idx="129">
                  <c:v>11.721677942083401</c:v>
                </c:pt>
                <c:pt idx="130">
                  <c:v>11.911492271708493</c:v>
                </c:pt>
                <c:pt idx="131">
                  <c:v>12.102802895116509</c:v>
                </c:pt>
                <c:pt idx="132">
                  <c:v>12.295607614293797</c:v>
                </c:pt>
                <c:pt idx="133">
                  <c:v>12.489904207841459</c:v>
                </c:pt>
                <c:pt idx="134">
                  <c:v>12.685690431210244</c:v>
                </c:pt>
                <c:pt idx="135">
                  <c:v>12.88296401693148</c:v>
                </c:pt>
                <c:pt idx="136">
                  <c:v>13.081722674844158</c:v>
                </c:pt>
                <c:pt idx="137">
                  <c:v>13.281964092318304</c:v>
                </c:pt>
                <c:pt idx="138">
                  <c:v>13.48368593447471</c:v>
                </c:pt>
                <c:pt idx="139">
                  <c:v>13.68688584440118</c:v>
                </c:pt>
                <c:pt idx="140">
                  <c:v>13.891561443365344</c:v>
                </c:pt>
                <c:pt idx="141">
                  <c:v>14.097710331024171</c:v>
                </c:pt>
                <c:pt idx="142">
                  <c:v>14.305330085630263</c:v>
                </c:pt>
                <c:pt idx="143">
                  <c:v>14.514418264235015</c:v>
                </c:pt>
                <c:pt idx="144">
                  <c:v>14.724972402888742</c:v>
                </c:pt>
                <c:pt idx="145">
                  <c:v>14.93699001683785</c:v>
                </c:pt>
                <c:pt idx="146">
                  <c:v>15.15046860071913</c:v>
                </c:pt>
                <c:pt idx="147">
                  <c:v>15.365405628751256</c:v>
                </c:pt>
                <c:pt idx="148">
                  <c:v>15.581798554923571</c:v>
                </c:pt>
                <c:pt idx="149">
                  <c:v>15.799644813182214</c:v>
                </c:pt>
                <c:pt idx="150">
                  <c:v>16.018941817613687</c:v>
                </c:pt>
                <c:pt idx="151">
                  <c:v>16.239687043291873</c:v>
                </c:pt>
                <c:pt idx="152">
                  <c:v>16.461878107406228</c:v>
                </c:pt>
                <c:pt idx="153">
                  <c:v>16.68551268913042</c:v>
                </c:pt>
                <c:pt idx="154">
                  <c:v>16.910588449199778</c:v>
                </c:pt>
                <c:pt idx="155">
                  <c:v>17.137103030072481</c:v>
                </c:pt>
                <c:pt idx="156">
                  <c:v>17.365054056088677</c:v>
                </c:pt>
                <c:pt idx="157">
                  <c:v>17.594439133627603</c:v>
                </c:pt>
                <c:pt idx="158">
                  <c:v>17.825255851262732</c:v>
                </c:pt>
                <c:pt idx="159">
                  <c:v>18.057501779915018</c:v>
                </c:pt>
                <c:pt idx="160">
                  <c:v>18.291174473004272</c:v>
                </c:pt>
                <c:pt idx="161">
                  <c:v>18.526271466598711</c:v>
                </c:pt>
                <c:pt idx="162">
                  <c:v>18.762790279562743</c:v>
                </c:pt>
                <c:pt idx="163">
                  <c:v>19.000728413703001</c:v>
                </c:pt>
                <c:pt idx="164">
                  <c:v>19.240083353912706</c:v>
                </c:pt>
                <c:pt idx="165">
                  <c:v>19.480852568314351</c:v>
                </c:pt>
                <c:pt idx="166">
                  <c:v>19.723033508400796</c:v>
                </c:pt>
                <c:pt idx="167">
                  <c:v>19.966623609174771</c:v>
                </c:pt>
                <c:pt idx="168">
                  <c:v>20.211620289286838</c:v>
                </c:pt>
                <c:pt idx="169">
                  <c:v>20.45802095117185</c:v>
                </c:pt>
                <c:pt idx="170">
                  <c:v>20.705822981183935</c:v>
                </c:pt>
                <c:pt idx="171">
                  <c:v>20.955023749730049</c:v>
                </c:pt>
                <c:pt idx="172">
                  <c:v>21.205620611402111</c:v>
                </c:pt>
                <c:pt idx="173">
                  <c:v>21.457610905107764</c:v>
                </c:pt>
                <c:pt idx="174">
                  <c:v>21.710991954199798</c:v>
                </c:pt>
                <c:pt idx="175">
                  <c:v>21.965761066604248</c:v>
                </c:pt>
                <c:pt idx="176">
                  <c:v>22.221915534947197</c:v>
                </c:pt>
                <c:pt idx="177">
                  <c:v>22.479452636680332</c:v>
                </c:pt>
                <c:pt idx="178">
                  <c:v>22.738369634205245</c:v>
                </c:pt>
                <c:pt idx="179">
                  <c:v>22.998663774996551</c:v>
                </c:pt>
                <c:pt idx="180">
                  <c:v>23.260332291723792</c:v>
                </c:pt>
                <c:pt idx="181">
                  <c:v>23.5233724023722</c:v>
                </c:pt>
                <c:pt idx="182">
                  <c:v>23.787781310362313</c:v>
                </c:pt>
                <c:pt idx="183">
                  <c:v>24.053556204668489</c:v>
                </c:pt>
                <c:pt idx="184">
                  <c:v>24.320694259936307</c:v>
                </c:pt>
                <c:pt idx="185">
                  <c:v>24.58919263659892</c:v>
                </c:pt>
                <c:pt idx="186">
                  <c:v>24.859048480992346</c:v>
                </c:pt>
                <c:pt idx="187">
                  <c:v>25.130258925469725</c:v>
                </c:pt>
                <c:pt idx="188">
                  <c:v>25.402821088514578</c:v>
                </c:pt>
                <c:pt idx="189">
                  <c:v>25.676732074853067</c:v>
                </c:pt>
                <c:pt idx="190">
                  <c:v>25.951988975565289</c:v>
                </c:pt>
                <c:pt idx="191">
                  <c:v>26.228588868195605</c:v>
                </c:pt>
                <c:pt idx="192">
                  <c:v>26.506528816862048</c:v>
                </c:pt>
                <c:pt idx="193">
                  <c:v>26.785805872364794</c:v>
                </c:pt>
                <c:pt idx="194">
                  <c:v>27.066417072293746</c:v>
                </c:pt>
                <c:pt idx="195">
                  <c:v>27.348359441135223</c:v>
                </c:pt>
                <c:pt idx="196">
                  <c:v>27.631629990377771</c:v>
                </c:pt>
                <c:pt idx="197">
                  <c:v>27.916225718617127</c:v>
                </c:pt>
                <c:pt idx="198">
                  <c:v>28.20214361166035</c:v>
                </c:pt>
                <c:pt idx="199">
                  <c:v>28.489380642629101</c:v>
                </c:pt>
                <c:pt idx="200">
                  <c:v>28.777933772062124</c:v>
                </c:pt>
                <c:pt idx="201">
                  <c:v>29.067799948016933</c:v>
                </c:pt>
                <c:pt idx="202">
                  <c:v>29.358976106170704</c:v>
                </c:pt>
                <c:pt idx="203">
                  <c:v>29.651459169920386</c:v>
                </c:pt>
                <c:pt idx="204">
                  <c:v>29.945246050482073</c:v>
                </c:pt>
                <c:pt idx="205">
                  <c:v>30.240333646989601</c:v>
                </c:pt>
                <c:pt idx="206">
                  <c:v>30.536718846592432</c:v>
                </c:pt>
                <c:pt idx="207">
                  <c:v>30.834398524552789</c:v>
                </c:pt>
                <c:pt idx="208">
                  <c:v>31.133369544342095</c:v>
                </c:pt>
                <c:pt idx="209">
                  <c:v>31.433628757736695</c:v>
                </c:pt>
                <c:pt idx="210">
                  <c:v>31.735173004912898</c:v>
                </c:pt>
                <c:pt idx="211">
                  <c:v>32.037999114541321</c:v>
                </c:pt>
                <c:pt idx="212">
                  <c:v>32.34210390388057</c:v>
                </c:pt>
                <c:pt idx="213">
                  <c:v>32.647484178870265</c:v>
                </c:pt>
                <c:pt idx="214">
                  <c:v>32.954136734223376</c:v>
                </c:pt>
                <c:pt idx="215">
                  <c:v>33.262058353517965</c:v>
                </c:pt>
                <c:pt idx="216">
                  <c:v>33.57124580928825</c:v>
                </c:pt>
                <c:pt idx="217">
                  <c:v>33.881695863115077</c:v>
                </c:pt>
                <c:pt idx="218">
                  <c:v>34.193405265715739</c:v>
                </c:pt>
                <c:pt idx="219">
                  <c:v>34.506370757033203</c:v>
                </c:pt>
                <c:pt idx="220">
                  <c:v>34.820589066324743</c:v>
                </c:pt>
                <c:pt idx="221">
                  <c:v>35.136056912249963</c:v>
                </c:pt>
                <c:pt idx="222">
                  <c:v>35.452771002958237</c:v>
                </c:pt>
                <c:pt idx="223">
                  <c:v>35.770728036175576</c:v>
                </c:pt>
                <c:pt idx="224">
                  <c:v>36.089924699290926</c:v>
                </c:pt>
                <c:pt idx="225">
                  <c:v>36.410357669441879</c:v>
                </c:pt>
                <c:pt idx="226">
                  <c:v>36.732023613599857</c:v>
                </c:pt>
                <c:pt idx="227">
                  <c:v>37.054919188654715</c:v>
                </c:pt>
                <c:pt idx="228">
                  <c:v>37.379041041498823</c:v>
                </c:pt>
                <c:pt idx="229">
                  <c:v>37.70438580911059</c:v>
                </c:pt>
                <c:pt idx="230">
                  <c:v>38.030950118637492</c:v>
                </c:pt>
                <c:pt idx="231">
                  <c:v>38.358730587478505</c:v>
                </c:pt>
                <c:pt idx="232">
                  <c:v>38.687723823366099</c:v>
                </c:pt>
                <c:pt idx="233">
                  <c:v>39.017926424447651</c:v>
                </c:pt>
                <c:pt idx="234">
                  <c:v>39.349334979366404</c:v>
                </c:pt>
                <c:pt idx="235">
                  <c:v>39.681946067341862</c:v>
                </c:pt>
                <c:pt idx="236">
                  <c:v>40.015756258249738</c:v>
                </c:pt>
                <c:pt idx="237">
                  <c:v>40.350762112701389</c:v>
                </c:pt>
                <c:pt idx="238">
                  <c:v>40.686960182122768</c:v>
                </c:pt>
                <c:pt idx="239">
                  <c:v>41.024347008832869</c:v>
                </c:pt>
                <c:pt idx="240">
                  <c:v>41.362919126121731</c:v>
                </c:pt>
                <c:pt idx="241">
                  <c:v>41.702673058327953</c:v>
                </c:pt>
                <c:pt idx="242">
                  <c:v>42.043605320915717</c:v>
                </c:pt>
                <c:pt idx="243">
                  <c:v>42.385712420551386</c:v>
                </c:pt>
                <c:pt idx="244">
                  <c:v>42.728990855179603</c:v>
                </c:pt>
                <c:pt idx="245">
                  <c:v>43.073437114098965</c:v>
                </c:pt>
                <c:pt idx="246">
                  <c:v>43.419047678037231</c:v>
                </c:pt>
                <c:pt idx="247">
                  <c:v>43.765819019226079</c:v>
                </c:pt>
                <c:pt idx="248">
                  <c:v>44.113747601475417</c:v>
                </c:pt>
                <c:pt idx="249">
                  <c:v>44.462829880247263</c:v>
                </c:pt>
                <c:pt idx="250">
                  <c:v>44.813062302729179</c:v>
                </c:pt>
                <c:pt idx="251">
                  <c:v>45.164440934654117</c:v>
                </c:pt>
                <c:pt idx="252">
                  <c:v>45.51696108637254</c:v>
                </c:pt>
                <c:pt idx="253">
                  <c:v>45.87061768536779</c:v>
                </c:pt>
                <c:pt idx="254">
                  <c:v>46.225405649532618</c:v>
                </c:pt>
                <c:pt idx="255">
                  <c:v>46.58131988726899</c:v>
                </c:pt>
                <c:pt idx="256">
                  <c:v>46.938355297587208</c:v>
                </c:pt>
                <c:pt idx="257">
                  <c:v>47.296506770204388</c:v>
                </c:pt>
                <c:pt idx="258">
                  <c:v>47.655769185642249</c:v>
                </c:pt>
                <c:pt idx="259">
                  <c:v>48.016137415324259</c:v>
                </c:pt>
                <c:pt idx="260">
                  <c:v>48.37760632167209</c:v>
                </c:pt>
                <c:pt idx="261">
                  <c:v>48.740170758201465</c:v>
                </c:pt>
                <c:pt idx="262">
                  <c:v>49.103825569617342</c:v>
                </c:pt>
                <c:pt idx="263">
                  <c:v>49.46856559190843</c:v>
                </c:pt>
                <c:pt idx="264">
                  <c:v>49.834385652441092</c:v>
                </c:pt>
                <c:pt idx="265">
                  <c:v>50.201280570052603</c:v>
                </c:pt>
                <c:pt idx="266">
                  <c:v>50.569245155143776</c:v>
                </c:pt>
                <c:pt idx="267">
                  <c:v>50.938274209770967</c:v>
                </c:pt>
                <c:pt idx="268">
                  <c:v>51.30836252773743</c:v>
                </c:pt>
                <c:pt idx="269">
                  <c:v>51.679504894684094</c:v>
                </c:pt>
                <c:pt idx="270">
                  <c:v>52.051696088179675</c:v>
                </c:pt>
                <c:pt idx="271">
                  <c:v>52.424930877810205</c:v>
                </c:pt>
                <c:pt idx="272">
                  <c:v>52.79920402526794</c:v>
                </c:pt>
                <c:pt idx="273">
                  <c:v>53.174510284439663</c:v>
                </c:pt>
                <c:pt idx="274">
                  <c:v>53.550844401494373</c:v>
                </c:pt>
                <c:pt idx="275">
                  <c:v>53.928201114970392</c:v>
                </c:pt>
                <c:pt idx="276">
                  <c:v>54.306575155861843</c:v>
                </c:pt>
                <c:pt idx="277">
                  <c:v>54.685961247704569</c:v>
                </c:pt>
                <c:pt idx="278">
                  <c:v>55.066354106661421</c:v>
                </c:pt>
                <c:pt idx="279">
                  <c:v>55.44774844160699</c:v>
                </c:pt>
                <c:pt idx="280">
                  <c:v>55.830138954211741</c:v>
                </c:pt>
                <c:pt idx="281">
                  <c:v>56.213520339025536</c:v>
                </c:pt>
                <c:pt idx="282">
                  <c:v>56.597887283560624</c:v>
                </c:pt>
                <c:pt idx="283">
                  <c:v>56.983234468374008</c:v>
                </c:pt>
                <c:pt idx="284">
                  <c:v>57.369556567149267</c:v>
                </c:pt>
                <c:pt idx="285">
                  <c:v>57.756848246777771</c:v>
                </c:pt>
                <c:pt idx="286">
                  <c:v>58.145104167439357</c:v>
                </c:pt>
                <c:pt idx="287">
                  <c:v>58.534318982682414</c:v>
                </c:pt>
                <c:pt idx="288">
                  <c:v>58.924487339503408</c:v>
                </c:pt>
                <c:pt idx="289">
                  <c:v>59.315603878425847</c:v>
                </c:pt>
                <c:pt idx="290">
                  <c:v>59.707663233578678</c:v>
                </c:pt>
                <c:pt idx="291">
                  <c:v>60.100660032774108</c:v>
                </c:pt>
                <c:pt idx="292">
                  <c:v>60.494588897584904</c:v>
                </c:pt>
                <c:pt idx="293">
                  <c:v>60.889444443421098</c:v>
                </c:pt>
                <c:pt idx="294">
                  <c:v>61.285221279606155</c:v>
                </c:pt>
                <c:pt idx="295">
                  <c:v>61.681914009452598</c:v>
                </c:pt>
                <c:pt idx="296">
                  <c:v>62.079517230337061</c:v>
                </c:pt>
                <c:pt idx="297">
                  <c:v>62.478025533774819</c:v>
                </c:pt>
                <c:pt idx="298">
                  <c:v>62.877429301765794</c:v>
                </c:pt>
                <c:pt idx="299">
                  <c:v>63.277710496898756</c:v>
                </c:pt>
                <c:pt idx="300">
                  <c:v>63.67884686045079</c:v>
                </c:pt>
                <c:pt idx="301">
                  <c:v>64.080816116947545</c:v>
                </c:pt>
                <c:pt idx="302">
                  <c:v>64.483595974671772</c:v>
                </c:pt>
                <c:pt idx="303">
                  <c:v>64.887164126164947</c:v>
                </c:pt>
                <c:pt idx="304">
                  <c:v>65.291498248722021</c:v>
                </c:pt>
                <c:pt idx="305">
                  <c:v>65.696576004879205</c:v>
                </c:pt>
                <c:pt idx="306">
                  <c:v>66.10237504289492</c:v>
                </c:pt>
                <c:pt idx="307">
                  <c:v>66.508872997223818</c:v>
                </c:pt>
                <c:pt idx="308">
                  <c:v>66.916047488983978</c:v>
                </c:pt>
                <c:pt idx="309">
                  <c:v>67.32387612641719</c:v>
                </c:pt>
                <c:pt idx="310">
                  <c:v>67.732336505342431</c:v>
                </c:pt>
                <c:pt idx="311">
                  <c:v>68.141406209602437</c:v>
                </c:pt>
                <c:pt idx="312">
                  <c:v>68.551062811503499</c:v>
                </c:pt>
                <c:pt idx="313">
                  <c:v>68.961283872248345</c:v>
                </c:pt>
                <c:pt idx="314">
                  <c:v>69.37204694236226</c:v>
                </c:pt>
                <c:pt idx="315">
                  <c:v>69.783329562112343</c:v>
                </c:pt>
                <c:pt idx="316">
                  <c:v>70.195109261919953</c:v>
                </c:pt>
                <c:pt idx="317">
                  <c:v>70.607363562766324</c:v>
                </c:pt>
                <c:pt idx="318">
                  <c:v>71.020069976591415</c:v>
                </c:pt>
                <c:pt idx="319">
                  <c:v>71.433206006685865</c:v>
                </c:pt>
                <c:pt idx="320">
                  <c:v>71.846749148076213</c:v>
                </c:pt>
                <c:pt idx="321">
                  <c:v>72.260678579850122</c:v>
                </c:pt>
                <c:pt idx="322">
                  <c:v>72.674976859116285</c:v>
                </c:pt>
                <c:pt idx="323">
                  <c:v>73.089628230401004</c:v>
                </c:pt>
                <c:pt idx="324">
                  <c:v>73.50461693331026</c:v>
                </c:pt>
                <c:pt idx="325">
                  <c:v>73.919927202710255</c:v>
                </c:pt>
                <c:pt idx="326">
                  <c:v>74.335543268904559</c:v>
                </c:pt>
                <c:pt idx="327">
                  <c:v>74.751449357807971</c:v>
                </c:pt>
                <c:pt idx="328">
                  <c:v>75.167629691117</c:v>
                </c:pt>
                <c:pt idx="329">
                  <c:v>75.58406848647698</c:v>
                </c:pt>
                <c:pt idx="330">
                  <c:v>76.000749957645851</c:v>
                </c:pt>
                <c:pt idx="331">
                  <c:v>76.417658314654631</c:v>
                </c:pt>
                <c:pt idx="332">
                  <c:v>76.834777763964496</c:v>
                </c:pt>
                <c:pt idx="333">
                  <c:v>77.252092508620535</c:v>
                </c:pt>
                <c:pt idx="334">
                  <c:v>77.669586748402182</c:v>
                </c:pt>
                <c:pt idx="335">
                  <c:v>78.087244679970297</c:v>
                </c:pt>
                <c:pt idx="336">
                  <c:v>78.505050497010942</c:v>
                </c:pt>
                <c:pt idx="337">
                  <c:v>78.922988390375721</c:v>
                </c:pt>
                <c:pt idx="338">
                  <c:v>79.341042548218894</c:v>
                </c:pt>
                <c:pt idx="339">
                  <c:v>79.759197156131137</c:v>
                </c:pt>
                <c:pt idx="340">
                  <c:v>80.177436397269872</c:v>
                </c:pt>
                <c:pt idx="341">
                  <c:v>80.595744452486386</c:v>
                </c:pt>
                <c:pt idx="342">
                  <c:v>81.014105500449517</c:v>
                </c:pt>
                <c:pt idx="343">
                  <c:v>81.432503717766082</c:v>
                </c:pt>
                <c:pt idx="344">
                  <c:v>81.85092327909787</c:v>
                </c:pt>
                <c:pt idx="345">
                  <c:v>82.269348357275405</c:v>
                </c:pt>
                <c:pt idx="346">
                  <c:v>82.68776312340826</c:v>
                </c:pt>
                <c:pt idx="347">
                  <c:v>83.106151746992126</c:v>
                </c:pt>
                <c:pt idx="348">
                  <c:v>83.524498581101327</c:v>
                </c:pt>
                <c:pt idx="349">
                  <c:v>83.942788347693977</c:v>
                </c:pt>
                <c:pt idx="350">
                  <c:v>84.361005952635153</c:v>
                </c:pt>
                <c:pt idx="351">
                  <c:v>84.779136300595141</c:v>
                </c:pt>
                <c:pt idx="352">
                  <c:v>85.197164295128772</c:v>
                </c:pt>
                <c:pt idx="353">
                  <c:v>85.615074838751738</c:v>
                </c:pt>
                <c:pt idx="354">
                  <c:v>86.032852833013806</c:v>
                </c:pt>
                <c:pt idx="355">
                  <c:v>86.45048317856903</c:v>
                </c:pt>
                <c:pt idx="356">
                  <c:v>86.867950775242875</c:v>
                </c:pt>
                <c:pt idx="357">
                  <c:v>87.285240522096288</c:v>
                </c:pt>
                <c:pt idx="358">
                  <c:v>87.702337317486695</c:v>
                </c:pt>
                <c:pt idx="359">
                  <c:v>88.119226059125964</c:v>
                </c:pt>
                <c:pt idx="360">
                  <c:v>88.535895518612804</c:v>
                </c:pt>
                <c:pt idx="361">
                  <c:v>88.952342217970994</c:v>
                </c:pt>
                <c:pt idx="362">
                  <c:v>89.36856655499254</c:v>
                </c:pt>
                <c:pt idx="363">
                  <c:v>89.784568926548374</c:v>
                </c:pt>
                <c:pt idx="364">
                  <c:v>90.200349728591334</c:v>
                </c:pt>
                <c:pt idx="365">
                  <c:v>90.615909356159179</c:v>
                </c:pt>
                <c:pt idx="366">
                  <c:v>91.031248203377515</c:v>
                </c:pt>
                <c:pt idx="367">
                  <c:v>91.446366663462783</c:v>
                </c:pt>
                <c:pt idx="368">
                  <c:v>91.861265128725208</c:v>
                </c:pt>
                <c:pt idx="369">
                  <c:v>92.275943990571733</c:v>
                </c:pt>
                <c:pt idx="370">
                  <c:v>92.690403639508929</c:v>
                </c:pt>
                <c:pt idx="371">
                  <c:v>93.104644465145924</c:v>
                </c:pt>
                <c:pt idx="372">
                  <c:v>93.518666856197285</c:v>
                </c:pt>
                <c:pt idx="373">
                  <c:v>93.932471200485949</c:v>
                </c:pt>
                <c:pt idx="374">
                  <c:v>94.346057884946035</c:v>
                </c:pt>
                <c:pt idx="375">
                  <c:v>94.75942729562577</c:v>
                </c:pt>
                <c:pt idx="376">
                  <c:v>95.172579817690291</c:v>
                </c:pt>
                <c:pt idx="377">
                  <c:v>95.585515835424545</c:v>
                </c:pt>
                <c:pt idx="378">
                  <c:v>95.998235732236054</c:v>
                </c:pt>
                <c:pt idx="379">
                  <c:v>96.410739890657794</c:v>
                </c:pt>
                <c:pt idx="380">
                  <c:v>96.823028692350974</c:v>
                </c:pt>
                <c:pt idx="381">
                  <c:v>97.235102518107837</c:v>
                </c:pt>
                <c:pt idx="382">
                  <c:v>97.646961747854448</c:v>
                </c:pt>
                <c:pt idx="383">
                  <c:v>98.058606760653447</c:v>
                </c:pt>
                <c:pt idx="384">
                  <c:v>98.470037934706866</c:v>
                </c:pt>
                <c:pt idx="385">
                  <c:v>98.881255647358827</c:v>
                </c:pt>
                <c:pt idx="386">
                  <c:v>99.292260275098315</c:v>
                </c:pt>
                <c:pt idx="387">
                  <c:v>99.703052193561888</c:v>
                </c:pt>
                <c:pt idx="388">
                  <c:v>100.11363177753641</c:v>
                </c:pt>
                <c:pt idx="389">
                  <c:v>100.52399940096177</c:v>
                </c:pt>
                <c:pt idx="390">
                  <c:v>100.93415543693355</c:v>
                </c:pt>
                <c:pt idx="391">
                  <c:v>101.34410025770575</c:v>
                </c:pt>
                <c:pt idx="392">
                  <c:v>101.75383423469343</c:v>
                </c:pt>
                <c:pt idx="393">
                  <c:v>102.16335773847541</c:v>
                </c:pt>
                <c:pt idx="394">
                  <c:v>102.57267113879689</c:v>
                </c:pt>
                <c:pt idx="395">
                  <c:v>102.98177480457211</c:v>
                </c:pt>
                <c:pt idx="396">
                  <c:v>103.39066910388701</c:v>
                </c:pt>
                <c:pt idx="397">
                  <c:v>103.79935440400179</c:v>
                </c:pt>
                <c:pt idx="398">
                  <c:v>104.20783107135361</c:v>
                </c:pt>
                <c:pt idx="399">
                  <c:v>104.61609947155912</c:v>
                </c:pt>
                <c:pt idx="400">
                  <c:v>105.02415996941711</c:v>
                </c:pt>
                <c:pt idx="401">
                  <c:v>109.09335851844368</c:v>
                </c:pt>
                <c:pt idx="402">
                  <c:v>113.14200193793042</c:v>
                </c:pt>
                <c:pt idx="403">
                  <c:v>117.17044730203112</c:v>
                </c:pt>
                <c:pt idx="404">
                  <c:v>121.17904384443159</c:v>
                </c:pt>
                <c:pt idx="405">
                  <c:v>125.16813320040828</c:v>
                </c:pt>
                <c:pt idx="406">
                  <c:v>129.13804963962389</c:v>
                </c:pt>
                <c:pt idx="407">
                  <c:v>133.08912029008374</c:v>
                </c:pt>
                <c:pt idx="408">
                  <c:v>137.02166535365436</c:v>
                </c:pt>
                <c:pt idx="409">
                  <c:v>140.93599831352404</c:v>
                </c:pt>
                <c:pt idx="410">
                  <c:v>144.83242613396564</c:v>
                </c:pt>
                <c:pt idx="411">
                  <c:v>148.71124945274235</c:v>
                </c:pt>
                <c:pt idx="412">
                  <c:v>152.57276276648031</c:v>
                </c:pt>
                <c:pt idx="413">
                  <c:v>156.41725460931431</c:v>
                </c:pt>
                <c:pt idx="414">
                  <c:v>160.24500772509825</c:v>
                </c:pt>
                <c:pt idx="415">
                  <c:v>164.05629923345583</c:v>
                </c:pt>
                <c:pt idx="416">
                  <c:v>167.85140078993459</c:v>
                </c:pt>
                <c:pt idx="417">
                  <c:v>171.63057874051168</c:v>
                </c:pt>
                <c:pt idx="418">
                  <c:v>175.39409427068875</c:v>
                </c:pt>
                <c:pt idx="419">
                  <c:v>179.14220354940042</c:v>
                </c:pt>
                <c:pt idx="420">
                  <c:v>182.87515786795063</c:v>
                </c:pt>
                <c:pt idx="421">
                  <c:v>186.59320377418021</c:v>
                </c:pt>
                <c:pt idx="422">
                  <c:v>190.29658320205922</c:v>
                </c:pt>
                <c:pt idx="423">
                  <c:v>193.98553359688839</c:v>
                </c:pt>
                <c:pt idx="424">
                  <c:v>197.66028803628484</c:v>
                </c:pt>
                <c:pt idx="425">
                  <c:v>201.32107534711935</c:v>
                </c:pt>
                <c:pt idx="426">
                  <c:v>204.968120218564</c:v>
                </c:pt>
                <c:pt idx="427">
                  <c:v>208.60164331140174</c:v>
                </c:pt>
                <c:pt idx="428">
                  <c:v>212.22186136374245</c:v>
                </c:pt>
                <c:pt idx="429">
                  <c:v>215.82898729328275</c:v>
                </c:pt>
                <c:pt idx="430">
                  <c:v>219.4232302962412</c:v>
                </c:pt>
                <c:pt idx="431">
                  <c:v>223.00479594309354</c:v>
                </c:pt>
                <c:pt idx="432">
                  <c:v>226.57388627122765</c:v>
                </c:pt>
                <c:pt idx="433">
                  <c:v>230.13069987463155</c:v>
                </c:pt>
                <c:pt idx="434">
                  <c:v>233.67543199072344</c:v>
                </c:pt>
                <c:pt idx="435">
                  <c:v>237.20827458442702</c:v>
                </c:pt>
                <c:pt idx="436">
                  <c:v>240.72941642959086</c:v>
                </c:pt>
                <c:pt idx="437">
                  <c:v>244.23904318784622</c:v>
                </c:pt>
                <c:pt idx="438">
                  <c:v>247.73733748499313</c:v>
                </c:pt>
                <c:pt idx="439">
                  <c:v>251.2244789850005</c:v>
                </c:pt>
                <c:pt idx="440">
                  <c:v>254.70064446170224</c:v>
                </c:pt>
                <c:pt idx="441">
                  <c:v>258.16600786826729</c:v>
                </c:pt>
                <c:pt idx="442">
                  <c:v>261.62074040451819</c:v>
                </c:pt>
                <c:pt idx="443">
                  <c:v>265.06501058216924</c:v>
                </c:pt>
                <c:pt idx="444">
                  <c:v>268.4989842880517</c:v>
                </c:pt>
                <c:pt idx="445">
                  <c:v>271.92282484539101</c:v>
                </c:pt>
                <c:pt idx="446">
                  <c:v>275.33669307319695</c:v>
                </c:pt>
                <c:pt idx="447">
                  <c:v>278.74074734382617</c:v>
                </c:pt>
                <c:pt idx="448">
                  <c:v>282.13514363877169</c:v>
                </c:pt>
                <c:pt idx="449">
                  <c:v>285.52003560273363</c:v>
                </c:pt>
                <c:pt idx="450">
                  <c:v>288.89557459602042</c:v>
                </c:pt>
                <c:pt idx="451">
                  <c:v>292.26190974532926</c:v>
                </c:pt>
                <c:pt idx="452">
                  <c:v>295.6191879929508</c:v>
                </c:pt>
                <c:pt idx="453">
                  <c:v>298.96755414444095</c:v>
                </c:pt>
                <c:pt idx="454">
                  <c:v>302.30715091480101</c:v>
                </c:pt>
                <c:pt idx="455">
                  <c:v>305.63811897320403</c:v>
                </c:pt>
                <c:pt idx="456">
                  <c:v>308.96059698630398</c:v>
                </c:pt>
                <c:pt idx="457">
                  <c:v>312.27472166016196</c:v>
                </c:pt>
                <c:pt idx="458">
                  <c:v>315.58062778082086</c:v>
                </c:pt>
                <c:pt idx="459">
                  <c:v>318.87844825355921</c:v>
                </c:pt>
                <c:pt idx="460">
                  <c:v>322.16831414085152</c:v>
                </c:pt>
                <c:pt idx="461">
                  <c:v>325.45035469906105</c:v>
                </c:pt>
                <c:pt idx="462">
                  <c:v>328.72469741388949</c:v>
                </c:pt>
                <c:pt idx="463">
                  <c:v>331.99146803460451</c:v>
                </c:pt>
                <c:pt idx="464">
                  <c:v>335.25079060706616</c:v>
                </c:pt>
                <c:pt idx="465">
                  <c:v>338.50278750556942</c:v>
                </c:pt>
                <c:pt idx="466">
                  <c:v>341.74757946351917</c:v>
                </c:pt>
                <c:pt idx="467">
                  <c:v>344.98528560295188</c:v>
                </c:pt>
                <c:pt idx="468">
                  <c:v>348.21602346291564</c:v>
                </c:pt>
                <c:pt idx="469">
                  <c:v>351.43990902671914</c:v>
                </c:pt>
                <c:pt idx="470">
                  <c:v>354.65705674805741</c:v>
                </c:pt>
                <c:pt idx="471">
                  <c:v>357.86757957602026</c:v>
                </c:pt>
                <c:pt idx="472">
                  <c:v>361.07158897898751</c:v>
                </c:pt>
                <c:pt idx="473">
                  <c:v>364.26919496741272</c:v>
                </c:pt>
                <c:pt idx="474">
                  <c:v>367.46050611549509</c:v>
                </c:pt>
                <c:pt idx="475">
                  <c:v>370.64562958173673</c:v>
                </c:pt>
                <c:pt idx="476">
                  <c:v>373.82467112838054</c:v>
                </c:pt>
                <c:pt idx="477">
                  <c:v>376.99773513972116</c:v>
                </c:pt>
                <c:pt idx="478">
                  <c:v>380.16492463927943</c:v>
                </c:pt>
                <c:pt idx="479">
                  <c:v>383.32634130582795</c:v>
                </c:pt>
                <c:pt idx="480">
                  <c:v>386.48208548825284</c:v>
                </c:pt>
                <c:pt idx="481">
                  <c:v>389.63225621923425</c:v>
                </c:pt>
                <c:pt idx="482">
                  <c:v>392.77695122772496</c:v>
                </c:pt>
                <c:pt idx="483">
                  <c:v>395.91626695020415</c:v>
                </c:pt>
                <c:pt idx="484">
                  <c:v>399.05029854067982</c:v>
                </c:pt>
                <c:pt idx="485">
                  <c:v>402.17913987941074</c:v>
                </c:pt>
                <c:pt idx="486">
                  <c:v>405.30288358031532</c:v>
                </c:pt>
                <c:pt idx="487">
                  <c:v>408.42162099703182</c:v>
                </c:pt>
                <c:pt idx="488">
                  <c:v>411.53544222759069</c:v>
                </c:pt>
                <c:pt idx="489">
                  <c:v>414.64443611765671</c:v>
                </c:pt>
                <c:pt idx="490">
                  <c:v>417.74869026229499</c:v>
                </c:pt>
                <c:pt idx="491">
                  <c:v>420.8482910062113</c:v>
                </c:pt>
                <c:pt idx="492">
                  <c:v>423.94332344241388</c:v>
                </c:pt>
                <c:pt idx="493">
                  <c:v>427.03387140924059</c:v>
                </c:pt>
                <c:pt idx="494">
                  <c:v>430.12001748569111</c:v>
                </c:pt>
                <c:pt idx="495">
                  <c:v>433.20184298500186</c:v>
                </c:pt>
                <c:pt idx="496">
                  <c:v>436.27942794639694</c:v>
                </c:pt>
                <c:pt idx="497">
                  <c:v>439.35285112494643</c:v>
                </c:pt>
                <c:pt idx="498">
                  <c:v>442.42218997946105</c:v>
                </c:pt>
                <c:pt idx="499">
                  <c:v>445.48752065834924</c:v>
                </c:pt>
                <c:pt idx="500">
                  <c:v>448.54891798336308</c:v>
                </c:pt>
                <c:pt idx="501">
                  <c:v>451.6064554311572</c:v>
                </c:pt>
                <c:pt idx="502">
                  <c:v>454.66020511258648</c:v>
                </c:pt>
                <c:pt idx="503">
                  <c:v>457.71023774966977</c:v>
                </c:pt>
                <c:pt idx="504">
                  <c:v>460.75662265014955</c:v>
                </c:pt>
                <c:pt idx="505">
                  <c:v>463.79942767958249</c:v>
                </c:pt>
                <c:pt idx="506">
                  <c:v>466.83871923090294</c:v>
                </c:pt>
                <c:pt idx="507">
                  <c:v>469.87456219140989</c:v>
                </c:pt>
                <c:pt idx="508">
                  <c:v>472.90701990714058</c:v>
                </c:pt>
                <c:pt idx="509">
                  <c:v>475.936154144608</c:v>
                </c:pt>
                <c:pt idx="510">
                  <c:v>478.96202504989873</c:v>
                </c:pt>
                <c:pt idx="511">
                  <c:v>481.98469110514907</c:v>
                </c:pt>
                <c:pt idx="512">
                  <c:v>485.00420908244467</c:v>
                </c:pt>
                <c:pt idx="513">
                  <c:v>488.02063399521938</c:v>
                </c:pt>
                <c:pt idx="514">
                  <c:v>491.03401904726479</c:v>
                </c:pt>
                <c:pt idx="515">
                  <c:v>494.04441557950349</c:v>
                </c:pt>
                <c:pt idx="516">
                  <c:v>497.05187301472375</c:v>
                </c:pt>
                <c:pt idx="517">
                  <c:v>500.0564388005252</c:v>
                </c:pt>
                <c:pt idx="518">
                  <c:v>503.05815835077868</c:v>
                </c:pt>
                <c:pt idx="519">
                  <c:v>506.05707498596308</c:v>
                </c:pt>
                <c:pt idx="520">
                  <c:v>509.05322987280238</c:v>
                </c:pt>
                <c:pt idx="521">
                  <c:v>512.0466619636893</c:v>
                </c:pt>
                <c:pt idx="522">
                  <c:v>515.03740793644306</c:v>
                </c:pt>
                <c:pt idx="523">
                  <c:v>518.02550213500842</c:v>
                </c:pt>
                <c:pt idx="524">
                  <c:v>521.01097651175655</c:v>
                </c:pt>
                <c:pt idx="525">
                  <c:v>523.99386057209563</c:v>
                </c:pt>
                <c:pt idx="526">
                  <c:v>526.97418132213193</c:v>
                </c:pt>
                <c:pt idx="527">
                  <c:v>529.95196322014613</c:v>
                </c:pt>
                <c:pt idx="528">
                  <c:v>532.92722813265254</c:v>
                </c:pt>
                <c:pt idx="529">
                  <c:v>535.89999529579632</c:v>
                </c:pt>
                <c:pt idx="530">
                  <c:v>538.87028128280849</c:v>
                </c:pt>
                <c:pt idx="531">
                  <c:v>541.83809997818457</c:v>
                </c:pt>
                <c:pt idx="532">
                  <c:v>544.80346255917391</c:v>
                </c:pt>
                <c:pt idx="533">
                  <c:v>547.7663774850721</c:v>
                </c:pt>
                <c:pt idx="534">
                  <c:v>550.72685049469453</c:v>
                </c:pt>
                <c:pt idx="535">
                  <c:v>553.6848846122806</c:v>
                </c:pt>
                <c:pt idx="536">
                  <c:v>556.64048016194226</c:v>
                </c:pt>
                <c:pt idx="537">
                  <c:v>559.59363479062733</c:v>
                </c:pt>
                <c:pt idx="538">
                  <c:v>562.54434349942858</c:v>
                </c:pt>
                <c:pt idx="539">
                  <c:v>565.49259868293439</c:v>
                </c:pt>
                <c:pt idx="540">
                  <c:v>568.43839017619291</c:v>
                </c:pt>
                <c:pt idx="541">
                  <c:v>571.38170530875323</c:v>
                </c:pt>
                <c:pt idx="542">
                  <c:v>574.32252896515899</c:v>
                </c:pt>
                <c:pt idx="543">
                  <c:v>577.26084365119698</c:v>
                </c:pt>
                <c:pt idx="544">
                  <c:v>580.19662956515981</c:v>
                </c:pt>
                <c:pt idx="545">
                  <c:v>583.12986467335145</c:v>
                </c:pt>
                <c:pt idx="546">
                  <c:v>586.06052478906065</c:v>
                </c:pt>
                <c:pt idx="547">
                  <c:v>588.98858365423894</c:v>
                </c:pt>
                <c:pt idx="548">
                  <c:v>591.91401302314705</c:v>
                </c:pt>
                <c:pt idx="549">
                  <c:v>594.83678274727583</c:v>
                </c:pt>
                <c:pt idx="550">
                  <c:v>597.75686086089729</c:v>
                </c:pt>
                <c:pt idx="551">
                  <c:v>600.67421366666031</c:v>
                </c:pt>
                <c:pt idx="552">
                  <c:v>603.58880582070833</c:v>
                </c:pt>
                <c:pt idx="553">
                  <c:v>606.50060041685913</c:v>
                </c:pt>
                <c:pt idx="554">
                  <c:v>609.40955906945146</c:v>
                </c:pt>
                <c:pt idx="555">
                  <c:v>612.3156419945268</c:v>
                </c:pt>
                <c:pt idx="556">
                  <c:v>615.21880808907031</c:v>
                </c:pt>
                <c:pt idx="557">
                  <c:v>618.11901500809324</c:v>
                </c:pt>
                <c:pt idx="558">
                  <c:v>621.01621923938694</c:v>
                </c:pt>
                <c:pt idx="559">
                  <c:v>623.91037617582435</c:v>
                </c:pt>
                <c:pt idx="560">
                  <c:v>626.80144018512499</c:v>
                </c:pt>
                <c:pt idx="561">
                  <c:v>629.68936467703281</c:v>
                </c:pt>
                <c:pt idx="562">
                  <c:v>632.57410216788821</c:v>
                </c:pt>
                <c:pt idx="563">
                  <c:v>635.45560434259869</c:v>
                </c:pt>
                <c:pt idx="564">
                  <c:v>638.33382211403523</c:v>
                </c:pt>
                <c:pt idx="565">
                  <c:v>641.20870567989766</c:v>
                </c:pt>
                <c:pt idx="566">
                  <c:v>644.08020457710563</c:v>
                </c:pt>
                <c:pt idx="567">
                  <c:v>646.94826773378486</c:v>
                </c:pt>
                <c:pt idx="568">
                  <c:v>649.81284351892305</c:v>
                </c:pt>
                <c:pt idx="569">
                  <c:v>652.67387978977877</c:v>
                </c:pt>
                <c:pt idx="570">
                  <c:v>655.53132393712917</c:v>
                </c:pt>
                <c:pt idx="571">
                  <c:v>658.38512292844428</c:v>
                </c:pt>
                <c:pt idx="572">
                  <c:v>661.23522334907807</c:v>
                </c:pt>
                <c:pt idx="573">
                  <c:v>664.08157144156553</c:v>
                </c:pt>
                <c:pt idx="574">
                  <c:v>666.92411314311369</c:v>
                </c:pt>
                <c:pt idx="575">
                  <c:v>669.76279412137387</c:v>
                </c:pt>
                <c:pt idx="576">
                  <c:v>672.5975598085796</c:v>
                </c:pt>
                <c:pt idx="577">
                  <c:v>675.42835543413207</c:v>
                </c:pt>
                <c:pt idx="578">
                  <c:v>678.25512605571214</c:v>
                </c:pt>
                <c:pt idx="579">
                  <c:v>681.07781658899489</c:v>
                </c:pt>
                <c:pt idx="580">
                  <c:v>683.89637183603941</c:v>
                </c:pt>
                <c:pt idx="581">
                  <c:v>686.71073651242273</c:v>
                </c:pt>
                <c:pt idx="582">
                  <c:v>689.52085527318434</c:v>
                </c:pt>
                <c:pt idx="583">
                  <c:v>692.32667273764389</c:v>
                </c:pt>
                <c:pt idx="584">
                  <c:v>695.12813351315071</c:v>
                </c:pt>
                <c:pt idx="585">
                  <c:v>697.92518221782245</c:v>
                </c:pt>
                <c:pt idx="586">
                  <c:v>700.71776350232437</c:v>
                </c:pt>
                <c:pt idx="587">
                  <c:v>703.50582207074081</c:v>
                </c:pt>
                <c:pt idx="588">
                  <c:v>706.28930270058481</c:v>
                </c:pt>
                <c:pt idx="589">
                  <c:v>709.06815026199104</c:v>
                </c:pt>
                <c:pt idx="590">
                  <c:v>711.84230973613296</c:v>
                </c:pt>
                <c:pt idx="591">
                  <c:v>714.61172623290463</c:v>
                </c:pt>
                <c:pt idx="592">
                  <c:v>717.37634500790296</c:v>
                </c:pt>
                <c:pt idx="593">
                  <c:v>720.13611147874542</c:v>
                </c:pt>
                <c:pt idx="594">
                  <c:v>722.89097124075624</c:v>
                </c:pt>
                <c:pt idx="595">
                  <c:v>725.64087008205081</c:v>
                </c:pt>
                <c:pt idx="596">
                  <c:v>728.38575399804745</c:v>
                </c:pt>
                <c:pt idx="597">
                  <c:v>731.12556920543341</c:v>
                </c:pt>
                <c:pt idx="598">
                  <c:v>733.86026215561026</c:v>
                </c:pt>
                <c:pt idx="599">
                  <c:v>736.58977954764237</c:v>
                </c:pt>
                <c:pt idx="600">
                  <c:v>739.31406834073061</c:v>
                </c:pt>
                <c:pt idx="601">
                  <c:v>742.03307576623251</c:v>
                </c:pt>
                <c:pt idx="602">
                  <c:v>744.7467493392478</c:v>
                </c:pt>
                <c:pt idx="603">
                  <c:v>747.45503686978827</c:v>
                </c:pt>
                <c:pt idx="604">
                  <c:v>750.1578864735493</c:v>
                </c:pt>
                <c:pt idx="605">
                  <c:v>752.85524658229861</c:v>
                </c:pt>
                <c:pt idx="606">
                  <c:v>755.54706595389769</c:v>
                </c:pt>
                <c:pt idx="607">
                  <c:v>758.23329368197119</c:v>
                </c:pt>
                <c:pt idx="608">
                  <c:v>760.91387920523619</c:v>
                </c:pt>
                <c:pt idx="609">
                  <c:v>763.58877231650479</c:v>
                </c:pt>
                <c:pt idx="610">
                  <c:v>766.25792317137234</c:v>
                </c:pt>
                <c:pt idx="611">
                  <c:v>768.92128229660148</c:v>
                </c:pt>
                <c:pt idx="612">
                  <c:v>771.57880059821343</c:v>
                </c:pt>
                <c:pt idx="613">
                  <c:v>774.23042936929642</c:v>
                </c:pt>
                <c:pt idx="614">
                  <c:v>776.87612029753961</c:v>
                </c:pt>
                <c:pt idx="615">
                  <c:v>779.51582547250291</c:v>
                </c:pt>
                <c:pt idx="616">
                  <c:v>782.14949739262954</c:v>
                </c:pt>
                <c:pt idx="617">
                  <c:v>784.77708897201046</c:v>
                </c:pt>
                <c:pt idx="618">
                  <c:v>787.39855354690758</c:v>
                </c:pt>
                <c:pt idx="619">
                  <c:v>790.01384488204212</c:v>
                </c:pt>
                <c:pt idx="620">
                  <c:v>792.62291717665619</c:v>
                </c:pt>
                <c:pt idx="621">
                  <c:v>795.22572507035272</c:v>
                </c:pt>
                <c:pt idx="622">
                  <c:v>797.82222364872052</c:v>
                </c:pt>
                <c:pt idx="623">
                  <c:v>800.41236844874913</c:v>
                </c:pt>
                <c:pt idx="624">
                  <c:v>802.99611546404037</c:v>
                </c:pt>
                <c:pt idx="625">
                  <c:v>805.57342114982009</c:v>
                </c:pt>
                <c:pt idx="626">
                  <c:v>808.14424242775601</c:v>
                </c:pt>
                <c:pt idx="627">
                  <c:v>810.70853669058613</c:v>
                </c:pt>
                <c:pt idx="628">
                  <c:v>813.2662618065616</c:v>
                </c:pt>
                <c:pt idx="629">
                  <c:v>815.8173761237091</c:v>
                </c:pt>
                <c:pt idx="630">
                  <c:v>818.36183847391567</c:v>
                </c:pt>
                <c:pt idx="631">
                  <c:v>820.89960817684118</c:v>
                </c:pt>
                <c:pt idx="632">
                  <c:v>823.43064504366043</c:v>
                </c:pt>
                <c:pt idx="633">
                  <c:v>825.9549093806404</c:v>
                </c:pt>
                <c:pt idx="634">
                  <c:v>828.47236199255372</c:v>
                </c:pt>
                <c:pt idx="635">
                  <c:v>830.98296418593395</c:v>
                </c:pt>
                <c:pt idx="636">
                  <c:v>833.48667777217361</c:v>
                </c:pt>
                <c:pt idx="637">
                  <c:v>835.98346507046961</c:v>
                </c:pt>
                <c:pt idx="638">
                  <c:v>838.47328891061795</c:v>
                </c:pt>
                <c:pt idx="639">
                  <c:v>840.95611263566093</c:v>
                </c:pt>
                <c:pt idx="640">
                  <c:v>843.43190010438923</c:v>
                </c:pt>
                <c:pt idx="641">
                  <c:v>845.90061569370187</c:v>
                </c:pt>
                <c:pt idx="642">
                  <c:v>848.36222430082603</c:v>
                </c:pt>
                <c:pt idx="643">
                  <c:v>850.81669134539936</c:v>
                </c:pt>
                <c:pt idx="644">
                  <c:v>853.26398277141732</c:v>
                </c:pt>
                <c:pt idx="645">
                  <c:v>855.70406504904759</c:v>
                </c:pt>
                <c:pt idx="646">
                  <c:v>858.1369051763138</c:v>
                </c:pt>
                <c:pt idx="647">
                  <c:v>860.56247068065068</c:v>
                </c:pt>
                <c:pt idx="648">
                  <c:v>862.98072962033314</c:v>
                </c:pt>
                <c:pt idx="649">
                  <c:v>865.39165058578021</c:v>
                </c:pt>
                <c:pt idx="650">
                  <c:v>867.79520270073738</c:v>
                </c:pt>
                <c:pt idx="651">
                  <c:v>870.19135562333838</c:v>
                </c:pt>
                <c:pt idx="652">
                  <c:v>872.58007954704783</c:v>
                </c:pt>
                <c:pt idx="653">
                  <c:v>874.9613452014878</c:v>
                </c:pt>
                <c:pt idx="654">
                  <c:v>877.33512385314941</c:v>
                </c:pt>
                <c:pt idx="655">
                  <c:v>879.70138730599115</c:v>
                </c:pt>
                <c:pt idx="656">
                  <c:v>882.06010790192636</c:v>
                </c:pt>
                <c:pt idx="657">
                  <c:v>884.41125852120069</c:v>
                </c:pt>
                <c:pt idx="658">
                  <c:v>886.75481258266177</c:v>
                </c:pt>
                <c:pt idx="659">
                  <c:v>889.090744043923</c:v>
                </c:pt>
                <c:pt idx="660">
                  <c:v>891.41902740142257</c:v>
                </c:pt>
                <c:pt idx="661">
                  <c:v>893.73963769037982</c:v>
                </c:pt>
                <c:pt idx="662">
                  <c:v>896.05255048464983</c:v>
                </c:pt>
                <c:pt idx="663">
                  <c:v>898.35774189647896</c:v>
                </c:pt>
                <c:pt idx="664">
                  <c:v>900.65518857616178</c:v>
                </c:pt>
                <c:pt idx="665">
                  <c:v>902.94486771160177</c:v>
                </c:pt>
                <c:pt idx="666">
                  <c:v>905.22675702777656</c:v>
                </c:pt>
                <c:pt idx="667">
                  <c:v>907.50083478611032</c:v>
                </c:pt>
                <c:pt idx="668">
                  <c:v>909.76707978375362</c:v>
                </c:pt>
                <c:pt idx="669">
                  <c:v>912.0254713527728</c:v>
                </c:pt>
                <c:pt idx="670">
                  <c:v>914.27598935925073</c:v>
                </c:pt>
                <c:pt idx="671">
                  <c:v>916.51861420229966</c:v>
                </c:pt>
                <c:pt idx="672">
                  <c:v>918.75332681298812</c:v>
                </c:pt>
                <c:pt idx="673">
                  <c:v>920.98010865318327</c:v>
                </c:pt>
                <c:pt idx="674">
                  <c:v>923.19894171430974</c:v>
                </c:pt>
                <c:pt idx="675">
                  <c:v>925.4098085160274</c:v>
                </c:pt>
                <c:pt idx="676">
                  <c:v>927.61269210482783</c:v>
                </c:pt>
                <c:pt idx="677">
                  <c:v>929.80757605255269</c:v>
                </c:pt>
                <c:pt idx="678">
                  <c:v>931.99444445483402</c:v>
                </c:pt>
                <c:pt idx="679">
                  <c:v>934.17328192945899</c:v>
                </c:pt>
                <c:pt idx="680">
                  <c:v>936.34407361465924</c:v>
                </c:pt>
                <c:pt idx="681">
                  <c:v>938.50680516732723</c:v>
                </c:pt>
                <c:pt idx="682">
                  <c:v>940.66146276116092</c:v>
                </c:pt>
                <c:pt idx="683">
                  <c:v>942.80803308473719</c:v>
                </c:pt>
                <c:pt idx="684">
                  <c:v>944.94650333951654</c:v>
                </c:pt>
                <c:pt idx="685">
                  <c:v>947.07686123777944</c:v>
                </c:pt>
                <c:pt idx="686">
                  <c:v>949.19909500049664</c:v>
                </c:pt>
                <c:pt idx="687">
                  <c:v>951.3131933551341</c:v>
                </c:pt>
                <c:pt idx="688">
                  <c:v>953.41914553339393</c:v>
                </c:pt>
                <c:pt idx="689">
                  <c:v>955.51694126889265</c:v>
                </c:pt>
                <c:pt idx="690">
                  <c:v>957.60657079477892</c:v>
                </c:pt>
                <c:pt idx="691">
                  <c:v>959.68802484129048</c:v>
                </c:pt>
                <c:pt idx="692">
                  <c:v>961.76129463325321</c:v>
                </c:pt>
                <c:pt idx="693">
                  <c:v>963.82637188752278</c:v>
                </c:pt>
                <c:pt idx="694">
                  <c:v>965.88324881036988</c:v>
                </c:pt>
                <c:pt idx="695">
                  <c:v>967.93191809481141</c:v>
                </c:pt>
                <c:pt idx="696">
                  <c:v>969.97237291788781</c:v>
                </c:pt>
                <c:pt idx="697">
                  <c:v>972.00460693788852</c:v>
                </c:pt>
                <c:pt idx="698">
                  <c:v>974.02861429152631</c:v>
                </c:pt>
                <c:pt idx="699">
                  <c:v>976.04438959106255</c:v>
                </c:pt>
                <c:pt idx="700">
                  <c:v>978.05192792138359</c:v>
                </c:pt>
                <c:pt idx="701">
                  <c:v>980.05122483703053</c:v>
                </c:pt>
                <c:pt idx="702">
                  <c:v>982.04227635918267</c:v>
                </c:pt>
                <c:pt idx="703">
                  <c:v>984.02507897259704</c:v>
                </c:pt>
                <c:pt idx="704">
                  <c:v>985.99962962250402</c:v>
                </c:pt>
                <c:pt idx="705">
                  <c:v>987.96592571146118</c:v>
                </c:pt>
                <c:pt idx="706">
                  <c:v>989.92396509616572</c:v>
                </c:pt>
                <c:pt idx="707">
                  <c:v>991.87374608422795</c:v>
                </c:pt>
                <c:pt idx="708">
                  <c:v>993.81526743090592</c:v>
                </c:pt>
                <c:pt idx="709">
                  <c:v>995.74852833580223</c:v>
                </c:pt>
                <c:pt idx="710">
                  <c:v>997.67352843952574</c:v>
                </c:pt>
                <c:pt idx="711">
                  <c:v>999.59026782031742</c:v>
                </c:pt>
                <c:pt idx="712">
                  <c:v>1001.498746990643</c:v>
                </c:pt>
                <c:pt idx="713">
                  <c:v>1003.3989668937528</c:v>
                </c:pt>
                <c:pt idx="714">
                  <c:v>1005.29092890021</c:v>
                </c:pt>
                <c:pt idx="715">
                  <c:v>1007.1746348043889</c:v>
                </c:pt>
                <c:pt idx="716">
                  <c:v>1009.0500868209435</c:v>
                </c:pt>
                <c:pt idx="717">
                  <c:v>1009.0500868209435</c:v>
                </c:pt>
                <c:pt idx="718">
                  <c:v>1009.0500868209435</c:v>
                </c:pt>
                <c:pt idx="719">
                  <c:v>1009.0500868209435</c:v>
                </c:pt>
                <c:pt idx="720">
                  <c:v>1009.0500868209435</c:v>
                </c:pt>
                <c:pt idx="721">
                  <c:v>1009.0500868209435</c:v>
                </c:pt>
                <c:pt idx="722">
                  <c:v>1009.0500868209435</c:v>
                </c:pt>
                <c:pt idx="723">
                  <c:v>1009.0500868209435</c:v>
                </c:pt>
                <c:pt idx="724">
                  <c:v>1009.0500868209435</c:v>
                </c:pt>
                <c:pt idx="725">
                  <c:v>1009.0500868209435</c:v>
                </c:pt>
                <c:pt idx="726">
                  <c:v>1009.0500868209435</c:v>
                </c:pt>
                <c:pt idx="727">
                  <c:v>1009.0500868209435</c:v>
                </c:pt>
                <c:pt idx="728">
                  <c:v>1009.0500868209435</c:v>
                </c:pt>
                <c:pt idx="729">
                  <c:v>1009.0500868209435</c:v>
                </c:pt>
                <c:pt idx="730">
                  <c:v>1009.0500868209435</c:v>
                </c:pt>
                <c:pt idx="731">
                  <c:v>1009.0500868209435</c:v>
                </c:pt>
                <c:pt idx="732">
                  <c:v>1009.0500868209435</c:v>
                </c:pt>
                <c:pt idx="733">
                  <c:v>1009.0500868209435</c:v>
                </c:pt>
                <c:pt idx="734">
                  <c:v>1009.0500868209435</c:v>
                </c:pt>
                <c:pt idx="735">
                  <c:v>1009.0500868209435</c:v>
                </c:pt>
                <c:pt idx="736">
                  <c:v>1009.0500868209435</c:v>
                </c:pt>
                <c:pt idx="737">
                  <c:v>1009.0500868209435</c:v>
                </c:pt>
                <c:pt idx="738">
                  <c:v>1009.0500868209435</c:v>
                </c:pt>
                <c:pt idx="739">
                  <c:v>1009.0500868209435</c:v>
                </c:pt>
                <c:pt idx="740">
                  <c:v>1009.0500868209435</c:v>
                </c:pt>
                <c:pt idx="741">
                  <c:v>1009.0500868209435</c:v>
                </c:pt>
                <c:pt idx="742">
                  <c:v>1009.0500868209435</c:v>
                </c:pt>
                <c:pt idx="743">
                  <c:v>1009.0500868209435</c:v>
                </c:pt>
                <c:pt idx="744">
                  <c:v>1009.0500868209435</c:v>
                </c:pt>
                <c:pt idx="745">
                  <c:v>1009.0500868209435</c:v>
                </c:pt>
                <c:pt idx="746">
                  <c:v>1009.0500868209435</c:v>
                </c:pt>
                <c:pt idx="747">
                  <c:v>1009.0500868209435</c:v>
                </c:pt>
                <c:pt idx="748">
                  <c:v>1009.0500868209435</c:v>
                </c:pt>
                <c:pt idx="749">
                  <c:v>1009.0500868209435</c:v>
                </c:pt>
                <c:pt idx="750">
                  <c:v>1009.0500868209435</c:v>
                </c:pt>
                <c:pt idx="751">
                  <c:v>1009.0500868209435</c:v>
                </c:pt>
                <c:pt idx="752">
                  <c:v>1009.0500868209435</c:v>
                </c:pt>
                <c:pt idx="753">
                  <c:v>1009.0500868209435</c:v>
                </c:pt>
                <c:pt idx="754">
                  <c:v>1009.0500868209435</c:v>
                </c:pt>
                <c:pt idx="755">
                  <c:v>1009.0500868209435</c:v>
                </c:pt>
                <c:pt idx="756">
                  <c:v>1009.0500868209435</c:v>
                </c:pt>
                <c:pt idx="757">
                  <c:v>1009.0500868209435</c:v>
                </c:pt>
                <c:pt idx="758">
                  <c:v>1009.0500868209435</c:v>
                </c:pt>
                <c:pt idx="759">
                  <c:v>1009.0500868209435</c:v>
                </c:pt>
                <c:pt idx="760">
                  <c:v>1009.0500868209435</c:v>
                </c:pt>
                <c:pt idx="761">
                  <c:v>1009.0500868209435</c:v>
                </c:pt>
                <c:pt idx="762">
                  <c:v>1009.0500868209435</c:v>
                </c:pt>
                <c:pt idx="763">
                  <c:v>1009.0500868209435</c:v>
                </c:pt>
                <c:pt idx="764">
                  <c:v>1009.0500868209435</c:v>
                </c:pt>
                <c:pt idx="765">
                  <c:v>1009.0500868209435</c:v>
                </c:pt>
                <c:pt idx="766">
                  <c:v>1009.0500868209435</c:v>
                </c:pt>
                <c:pt idx="767">
                  <c:v>1009.0500868209435</c:v>
                </c:pt>
                <c:pt idx="768">
                  <c:v>1009.0500868209435</c:v>
                </c:pt>
                <c:pt idx="769">
                  <c:v>1009.0500868209435</c:v>
                </c:pt>
                <c:pt idx="770">
                  <c:v>1009.0500868209435</c:v>
                </c:pt>
                <c:pt idx="771">
                  <c:v>1009.0500868209435</c:v>
                </c:pt>
                <c:pt idx="772">
                  <c:v>1009.0500868209435</c:v>
                </c:pt>
                <c:pt idx="773">
                  <c:v>1009.0500868209435</c:v>
                </c:pt>
                <c:pt idx="774">
                  <c:v>1009.0500868209435</c:v>
                </c:pt>
                <c:pt idx="775">
                  <c:v>1009.0500868209435</c:v>
                </c:pt>
                <c:pt idx="776">
                  <c:v>1009.0500868209435</c:v>
                </c:pt>
                <c:pt idx="777">
                  <c:v>1009.0500868209435</c:v>
                </c:pt>
                <c:pt idx="778">
                  <c:v>1009.0500868209435</c:v>
                </c:pt>
                <c:pt idx="779">
                  <c:v>1009.0500868209435</c:v>
                </c:pt>
                <c:pt idx="780">
                  <c:v>1009.0500868209435</c:v>
                </c:pt>
                <c:pt idx="781">
                  <c:v>1009.0500868209435</c:v>
                </c:pt>
                <c:pt idx="782">
                  <c:v>1009.0500868209435</c:v>
                </c:pt>
                <c:pt idx="783">
                  <c:v>1009.0500868209435</c:v>
                </c:pt>
                <c:pt idx="784">
                  <c:v>1009.0500868209435</c:v>
                </c:pt>
                <c:pt idx="785">
                  <c:v>1009.0500868209435</c:v>
                </c:pt>
                <c:pt idx="786">
                  <c:v>1009.0500868209435</c:v>
                </c:pt>
                <c:pt idx="787">
                  <c:v>1009.0500868209435</c:v>
                </c:pt>
                <c:pt idx="788">
                  <c:v>1009.0500868209435</c:v>
                </c:pt>
                <c:pt idx="789">
                  <c:v>1009.0500868209435</c:v>
                </c:pt>
                <c:pt idx="790">
                  <c:v>1009.0500868209435</c:v>
                </c:pt>
                <c:pt idx="791">
                  <c:v>1009.0500868209435</c:v>
                </c:pt>
                <c:pt idx="792">
                  <c:v>1009.0500868209435</c:v>
                </c:pt>
                <c:pt idx="793">
                  <c:v>1009.0500868209435</c:v>
                </c:pt>
                <c:pt idx="794">
                  <c:v>1009.0500868209435</c:v>
                </c:pt>
                <c:pt idx="795">
                  <c:v>1009.0500868209435</c:v>
                </c:pt>
                <c:pt idx="796">
                  <c:v>1009.0500868209435</c:v>
                </c:pt>
                <c:pt idx="797">
                  <c:v>1009.0500868209435</c:v>
                </c:pt>
                <c:pt idx="798">
                  <c:v>1009.0500868209435</c:v>
                </c:pt>
                <c:pt idx="799">
                  <c:v>1009.0500868209435</c:v>
                </c:pt>
                <c:pt idx="800">
                  <c:v>1009.0500868209435</c:v>
                </c:pt>
                <c:pt idx="801">
                  <c:v>1009.0500868209435</c:v>
                </c:pt>
                <c:pt idx="802">
                  <c:v>1009.0500868209435</c:v>
                </c:pt>
                <c:pt idx="803">
                  <c:v>1009.0500868209435</c:v>
                </c:pt>
                <c:pt idx="804">
                  <c:v>1009.0500868209435</c:v>
                </c:pt>
                <c:pt idx="805">
                  <c:v>1009.0500868209435</c:v>
                </c:pt>
                <c:pt idx="806">
                  <c:v>1009.0500868209435</c:v>
                </c:pt>
                <c:pt idx="807">
                  <c:v>1009.0500868209435</c:v>
                </c:pt>
                <c:pt idx="808">
                  <c:v>1009.0500868209435</c:v>
                </c:pt>
                <c:pt idx="809">
                  <c:v>1009.0500868209435</c:v>
                </c:pt>
                <c:pt idx="810">
                  <c:v>1009.0500868209435</c:v>
                </c:pt>
                <c:pt idx="811">
                  <c:v>1009.0500868209435</c:v>
                </c:pt>
                <c:pt idx="812">
                  <c:v>1009.0500868209435</c:v>
                </c:pt>
                <c:pt idx="813">
                  <c:v>1009.0500868209435</c:v>
                </c:pt>
                <c:pt idx="814">
                  <c:v>1009.0500868209435</c:v>
                </c:pt>
                <c:pt idx="815">
                  <c:v>1009.0500868209435</c:v>
                </c:pt>
                <c:pt idx="816">
                  <c:v>1009.0500868209435</c:v>
                </c:pt>
                <c:pt idx="817">
                  <c:v>1009.0500868209435</c:v>
                </c:pt>
                <c:pt idx="818">
                  <c:v>1009.0500868209435</c:v>
                </c:pt>
                <c:pt idx="819">
                  <c:v>1009.0500868209435</c:v>
                </c:pt>
                <c:pt idx="820">
                  <c:v>1009.0500868209435</c:v>
                </c:pt>
                <c:pt idx="821">
                  <c:v>1009.0500868209435</c:v>
                </c:pt>
                <c:pt idx="822">
                  <c:v>1009.0500868209435</c:v>
                </c:pt>
                <c:pt idx="823">
                  <c:v>1009.0500868209435</c:v>
                </c:pt>
                <c:pt idx="824">
                  <c:v>1009.0500868209435</c:v>
                </c:pt>
                <c:pt idx="825">
                  <c:v>1009.0500868209435</c:v>
                </c:pt>
                <c:pt idx="826">
                  <c:v>1009.0500868209435</c:v>
                </c:pt>
                <c:pt idx="827">
                  <c:v>1009.0500868209435</c:v>
                </c:pt>
                <c:pt idx="828">
                  <c:v>1009.0500868209435</c:v>
                </c:pt>
                <c:pt idx="829">
                  <c:v>1009.0500868209435</c:v>
                </c:pt>
                <c:pt idx="830">
                  <c:v>1009.0500868209435</c:v>
                </c:pt>
                <c:pt idx="831">
                  <c:v>1009.0500868209435</c:v>
                </c:pt>
                <c:pt idx="832">
                  <c:v>1009.0500868209435</c:v>
                </c:pt>
                <c:pt idx="833">
                  <c:v>1009.0500868209435</c:v>
                </c:pt>
                <c:pt idx="834">
                  <c:v>1009.0500868209435</c:v>
                </c:pt>
                <c:pt idx="835">
                  <c:v>1009.0500868209435</c:v>
                </c:pt>
                <c:pt idx="836">
                  <c:v>1009.0500868209435</c:v>
                </c:pt>
                <c:pt idx="837">
                  <c:v>1009.0500868209435</c:v>
                </c:pt>
                <c:pt idx="838">
                  <c:v>1009.0500868209435</c:v>
                </c:pt>
                <c:pt idx="839">
                  <c:v>1009.0500868209435</c:v>
                </c:pt>
                <c:pt idx="840">
                  <c:v>1009.0500868209435</c:v>
                </c:pt>
                <c:pt idx="841">
                  <c:v>1009.0500868209435</c:v>
                </c:pt>
                <c:pt idx="842">
                  <c:v>1009.0500868209435</c:v>
                </c:pt>
                <c:pt idx="843">
                  <c:v>1009.0500868209435</c:v>
                </c:pt>
                <c:pt idx="844">
                  <c:v>1009.0500868209435</c:v>
                </c:pt>
                <c:pt idx="845">
                  <c:v>1009.0500868209435</c:v>
                </c:pt>
                <c:pt idx="846">
                  <c:v>1009.0500868209435</c:v>
                </c:pt>
                <c:pt idx="847">
                  <c:v>1009.0500868209435</c:v>
                </c:pt>
                <c:pt idx="848">
                  <c:v>1009.0500868209435</c:v>
                </c:pt>
                <c:pt idx="849">
                  <c:v>1009.0500868209435</c:v>
                </c:pt>
                <c:pt idx="850">
                  <c:v>1009.0500868209435</c:v>
                </c:pt>
                <c:pt idx="851">
                  <c:v>1009.0500868209435</c:v>
                </c:pt>
                <c:pt idx="852">
                  <c:v>1009.0500868209435</c:v>
                </c:pt>
                <c:pt idx="853">
                  <c:v>1009.0500868209435</c:v>
                </c:pt>
                <c:pt idx="854">
                  <c:v>1009.0500868209435</c:v>
                </c:pt>
                <c:pt idx="855">
                  <c:v>1009.0500868209435</c:v>
                </c:pt>
                <c:pt idx="856">
                  <c:v>1009.0500868209435</c:v>
                </c:pt>
                <c:pt idx="857">
                  <c:v>1009.0500868209435</c:v>
                </c:pt>
                <c:pt idx="858">
                  <c:v>1009.0500868209435</c:v>
                </c:pt>
                <c:pt idx="859">
                  <c:v>1009.0500868209435</c:v>
                </c:pt>
                <c:pt idx="860">
                  <c:v>1009.0500868209435</c:v>
                </c:pt>
                <c:pt idx="861">
                  <c:v>1009.0500868209435</c:v>
                </c:pt>
                <c:pt idx="862">
                  <c:v>1009.0500868209435</c:v>
                </c:pt>
                <c:pt idx="863">
                  <c:v>1009.0500868209435</c:v>
                </c:pt>
                <c:pt idx="864">
                  <c:v>1009.0500868209435</c:v>
                </c:pt>
                <c:pt idx="865">
                  <c:v>1009.0500868209435</c:v>
                </c:pt>
                <c:pt idx="866">
                  <c:v>1009.0500868209435</c:v>
                </c:pt>
                <c:pt idx="867">
                  <c:v>1009.0500868209435</c:v>
                </c:pt>
                <c:pt idx="868">
                  <c:v>1009.0500868209435</c:v>
                </c:pt>
                <c:pt idx="869">
                  <c:v>1009.0500868209435</c:v>
                </c:pt>
                <c:pt idx="870">
                  <c:v>1009.0500868209435</c:v>
                </c:pt>
                <c:pt idx="871">
                  <c:v>1009.0500868209435</c:v>
                </c:pt>
                <c:pt idx="872">
                  <c:v>1009.0500868209435</c:v>
                </c:pt>
                <c:pt idx="873">
                  <c:v>1009.0500868209435</c:v>
                </c:pt>
                <c:pt idx="874">
                  <c:v>1009.0500868209435</c:v>
                </c:pt>
                <c:pt idx="875">
                  <c:v>1009.0500868209435</c:v>
                </c:pt>
                <c:pt idx="876">
                  <c:v>1009.0500868209435</c:v>
                </c:pt>
                <c:pt idx="877">
                  <c:v>1009.0500868209435</c:v>
                </c:pt>
                <c:pt idx="878">
                  <c:v>1009.0500868209435</c:v>
                </c:pt>
                <c:pt idx="879">
                  <c:v>1009.0500868209435</c:v>
                </c:pt>
                <c:pt idx="880">
                  <c:v>1009.0500868209435</c:v>
                </c:pt>
                <c:pt idx="881">
                  <c:v>1009.0500868209435</c:v>
                </c:pt>
                <c:pt idx="882">
                  <c:v>1009.0500868209435</c:v>
                </c:pt>
                <c:pt idx="883">
                  <c:v>1009.0500868209435</c:v>
                </c:pt>
                <c:pt idx="884">
                  <c:v>1009.0500868209435</c:v>
                </c:pt>
                <c:pt idx="885">
                  <c:v>1009.0500868209435</c:v>
                </c:pt>
                <c:pt idx="886">
                  <c:v>1009.0500868209435</c:v>
                </c:pt>
                <c:pt idx="887">
                  <c:v>1009.0500868209435</c:v>
                </c:pt>
                <c:pt idx="888">
                  <c:v>1009.0500868209435</c:v>
                </c:pt>
                <c:pt idx="889">
                  <c:v>1009.0500868209435</c:v>
                </c:pt>
                <c:pt idx="890">
                  <c:v>1009.0500868209435</c:v>
                </c:pt>
                <c:pt idx="891">
                  <c:v>1009.0500868209435</c:v>
                </c:pt>
                <c:pt idx="892">
                  <c:v>1009.0500868209435</c:v>
                </c:pt>
                <c:pt idx="893">
                  <c:v>1009.0500868209435</c:v>
                </c:pt>
                <c:pt idx="894">
                  <c:v>1009.0500868209435</c:v>
                </c:pt>
                <c:pt idx="895">
                  <c:v>1009.0500868209435</c:v>
                </c:pt>
                <c:pt idx="896">
                  <c:v>1009.0500868209435</c:v>
                </c:pt>
                <c:pt idx="897">
                  <c:v>1009.0500868209435</c:v>
                </c:pt>
                <c:pt idx="898">
                  <c:v>1009.0500868209435</c:v>
                </c:pt>
                <c:pt idx="899">
                  <c:v>1009.0500868209435</c:v>
                </c:pt>
                <c:pt idx="900">
                  <c:v>1009.0500868209435</c:v>
                </c:pt>
                <c:pt idx="901">
                  <c:v>1009.0500868209435</c:v>
                </c:pt>
                <c:pt idx="902">
                  <c:v>1009.0500868209435</c:v>
                </c:pt>
                <c:pt idx="903">
                  <c:v>1009.0500868209435</c:v>
                </c:pt>
                <c:pt idx="904">
                  <c:v>1009.0500868209435</c:v>
                </c:pt>
                <c:pt idx="905">
                  <c:v>1009.0500868209435</c:v>
                </c:pt>
                <c:pt idx="906">
                  <c:v>1009.0500868209435</c:v>
                </c:pt>
                <c:pt idx="907">
                  <c:v>1009.0500868209435</c:v>
                </c:pt>
                <c:pt idx="908">
                  <c:v>1009.0500868209435</c:v>
                </c:pt>
                <c:pt idx="909">
                  <c:v>1009.0500868209435</c:v>
                </c:pt>
                <c:pt idx="910">
                  <c:v>1009.0500868209435</c:v>
                </c:pt>
                <c:pt idx="911">
                  <c:v>1009.0500868209435</c:v>
                </c:pt>
                <c:pt idx="912">
                  <c:v>1009.0500868209435</c:v>
                </c:pt>
                <c:pt idx="913">
                  <c:v>1009.0500868209435</c:v>
                </c:pt>
                <c:pt idx="914">
                  <c:v>1009.0500868209435</c:v>
                </c:pt>
                <c:pt idx="915">
                  <c:v>1009.0500868209435</c:v>
                </c:pt>
                <c:pt idx="916">
                  <c:v>1009.0500868209435</c:v>
                </c:pt>
                <c:pt idx="917">
                  <c:v>1009.0500868209435</c:v>
                </c:pt>
                <c:pt idx="918">
                  <c:v>1009.0500868209435</c:v>
                </c:pt>
                <c:pt idx="919">
                  <c:v>1009.0500868209435</c:v>
                </c:pt>
                <c:pt idx="920">
                  <c:v>1009.0500868209435</c:v>
                </c:pt>
                <c:pt idx="921">
                  <c:v>1009.0500868209435</c:v>
                </c:pt>
                <c:pt idx="922">
                  <c:v>1009.0500868209435</c:v>
                </c:pt>
                <c:pt idx="923">
                  <c:v>1009.0500868209435</c:v>
                </c:pt>
                <c:pt idx="924">
                  <c:v>1009.0500868209435</c:v>
                </c:pt>
                <c:pt idx="925">
                  <c:v>1009.0500868209435</c:v>
                </c:pt>
                <c:pt idx="926">
                  <c:v>1009.0500868209435</c:v>
                </c:pt>
                <c:pt idx="927">
                  <c:v>1009.0500868209435</c:v>
                </c:pt>
                <c:pt idx="928">
                  <c:v>1009.0500868209435</c:v>
                </c:pt>
                <c:pt idx="929">
                  <c:v>1009.0500868209435</c:v>
                </c:pt>
                <c:pt idx="930">
                  <c:v>1009.0500868209435</c:v>
                </c:pt>
                <c:pt idx="931">
                  <c:v>1009.0500868209435</c:v>
                </c:pt>
                <c:pt idx="932">
                  <c:v>1009.0500868209435</c:v>
                </c:pt>
                <c:pt idx="933">
                  <c:v>1009.0500868209435</c:v>
                </c:pt>
                <c:pt idx="934">
                  <c:v>1009.0500868209435</c:v>
                </c:pt>
                <c:pt idx="935">
                  <c:v>1009.0500868209435</c:v>
                </c:pt>
                <c:pt idx="936">
                  <c:v>1009.0500868209435</c:v>
                </c:pt>
                <c:pt idx="937">
                  <c:v>1009.0500868209435</c:v>
                </c:pt>
                <c:pt idx="938">
                  <c:v>1009.0500868209435</c:v>
                </c:pt>
                <c:pt idx="939">
                  <c:v>1009.0500868209435</c:v>
                </c:pt>
                <c:pt idx="940">
                  <c:v>1009.0500868209435</c:v>
                </c:pt>
                <c:pt idx="941">
                  <c:v>1009.0500868209435</c:v>
                </c:pt>
                <c:pt idx="942">
                  <c:v>1009.0500868209435</c:v>
                </c:pt>
                <c:pt idx="943">
                  <c:v>1009.0500868209435</c:v>
                </c:pt>
                <c:pt idx="944">
                  <c:v>1009.0500868209435</c:v>
                </c:pt>
                <c:pt idx="945">
                  <c:v>1009.0500868209435</c:v>
                </c:pt>
                <c:pt idx="946">
                  <c:v>1009.0500868209435</c:v>
                </c:pt>
                <c:pt idx="947">
                  <c:v>1009.0500868209435</c:v>
                </c:pt>
                <c:pt idx="948">
                  <c:v>1009.0500868209435</c:v>
                </c:pt>
                <c:pt idx="949">
                  <c:v>1009.0500868209435</c:v>
                </c:pt>
                <c:pt idx="950">
                  <c:v>1009.0500868209435</c:v>
                </c:pt>
                <c:pt idx="951">
                  <c:v>1009.0500868209435</c:v>
                </c:pt>
                <c:pt idx="952">
                  <c:v>1009.0500868209435</c:v>
                </c:pt>
                <c:pt idx="953">
                  <c:v>1009.0500868209435</c:v>
                </c:pt>
                <c:pt idx="954">
                  <c:v>1009.0500868209435</c:v>
                </c:pt>
                <c:pt idx="955">
                  <c:v>1009.0500868209435</c:v>
                </c:pt>
                <c:pt idx="956">
                  <c:v>1009.0500868209435</c:v>
                </c:pt>
                <c:pt idx="957">
                  <c:v>1009.0500868209435</c:v>
                </c:pt>
                <c:pt idx="958">
                  <c:v>1009.0500868209435</c:v>
                </c:pt>
                <c:pt idx="959">
                  <c:v>1009.0500868209435</c:v>
                </c:pt>
                <c:pt idx="960">
                  <c:v>1009.0500868209435</c:v>
                </c:pt>
                <c:pt idx="961">
                  <c:v>1009.0500868209435</c:v>
                </c:pt>
                <c:pt idx="962">
                  <c:v>1009.0500868209435</c:v>
                </c:pt>
                <c:pt idx="963">
                  <c:v>1009.0500868209435</c:v>
                </c:pt>
                <c:pt idx="964">
                  <c:v>1009.0500868209435</c:v>
                </c:pt>
                <c:pt idx="965">
                  <c:v>1009.0500868209435</c:v>
                </c:pt>
                <c:pt idx="966">
                  <c:v>1009.0500868209435</c:v>
                </c:pt>
                <c:pt idx="967">
                  <c:v>1009.0500868209435</c:v>
                </c:pt>
                <c:pt idx="968">
                  <c:v>1009.0500868209435</c:v>
                </c:pt>
                <c:pt idx="969">
                  <c:v>1009.0500868209435</c:v>
                </c:pt>
                <c:pt idx="970">
                  <c:v>1009.0500868209435</c:v>
                </c:pt>
                <c:pt idx="971">
                  <c:v>1009.0500868209435</c:v>
                </c:pt>
                <c:pt idx="972">
                  <c:v>1009.0500868209435</c:v>
                </c:pt>
                <c:pt idx="973">
                  <c:v>1009.0500868209435</c:v>
                </c:pt>
                <c:pt idx="974">
                  <c:v>1009.0500868209435</c:v>
                </c:pt>
                <c:pt idx="975">
                  <c:v>1009.0500868209435</c:v>
                </c:pt>
                <c:pt idx="976">
                  <c:v>1009.0500868209435</c:v>
                </c:pt>
                <c:pt idx="977">
                  <c:v>1009.0500868209435</c:v>
                </c:pt>
                <c:pt idx="978">
                  <c:v>1009.0500868209435</c:v>
                </c:pt>
                <c:pt idx="979">
                  <c:v>1009.0500868209435</c:v>
                </c:pt>
                <c:pt idx="980">
                  <c:v>1009.0500868209435</c:v>
                </c:pt>
                <c:pt idx="981">
                  <c:v>1009.0500868209435</c:v>
                </c:pt>
                <c:pt idx="982">
                  <c:v>1009.0500868209435</c:v>
                </c:pt>
                <c:pt idx="983">
                  <c:v>1009.0500868209435</c:v>
                </c:pt>
                <c:pt idx="984">
                  <c:v>1009.0500868209435</c:v>
                </c:pt>
                <c:pt idx="985">
                  <c:v>1009.0500868209435</c:v>
                </c:pt>
                <c:pt idx="986">
                  <c:v>1009.0500868209435</c:v>
                </c:pt>
                <c:pt idx="987">
                  <c:v>1009.0500868209435</c:v>
                </c:pt>
                <c:pt idx="988">
                  <c:v>1009.0500868209435</c:v>
                </c:pt>
                <c:pt idx="989">
                  <c:v>1009.0500868209435</c:v>
                </c:pt>
                <c:pt idx="990">
                  <c:v>1009.0500868209435</c:v>
                </c:pt>
                <c:pt idx="991">
                  <c:v>1009.0500868209435</c:v>
                </c:pt>
                <c:pt idx="992">
                  <c:v>1009.0500868209435</c:v>
                </c:pt>
                <c:pt idx="993">
                  <c:v>1009.0500868209435</c:v>
                </c:pt>
                <c:pt idx="994">
                  <c:v>1009.0500868209435</c:v>
                </c:pt>
                <c:pt idx="995">
                  <c:v>1009.0500868209435</c:v>
                </c:pt>
                <c:pt idx="996">
                  <c:v>1009.0500868209435</c:v>
                </c:pt>
                <c:pt idx="997">
                  <c:v>1009.0500868209435</c:v>
                </c:pt>
                <c:pt idx="998">
                  <c:v>1009.0500868209435</c:v>
                </c:pt>
                <c:pt idx="999">
                  <c:v>1009.0500868209435</c:v>
                </c:pt>
                <c:pt idx="1000">
                  <c:v>1009.0500868209435</c:v>
                </c:pt>
              </c:numCache>
            </c:numRef>
          </c:xVal>
          <c:yVal>
            <c:numRef>
              <c:f>Calculs!$AE$4:$AE$1004</c:f>
              <c:numCache>
                <c:formatCode>0</c:formatCode>
                <c:ptCount val="1001"/>
                <c:pt idx="0">
                  <c:v>0</c:v>
                </c:pt>
                <c:pt idx="1">
                  <c:v>0</c:v>
                </c:pt>
                <c:pt idx="2">
                  <c:v>8.8659929951468331E-4</c:v>
                </c:pt>
                <c:pt idx="3">
                  <c:v>4.4551282218210728E-3</c:v>
                </c:pt>
                <c:pt idx="4">
                  <c:v>1.252376084757101E-2</c:v>
                </c:pt>
                <c:pt idx="5">
                  <c:v>2.6912343102871397E-2</c:v>
                </c:pt>
                <c:pt idx="6">
                  <c:v>4.8982521190609973E-2</c:v>
                </c:pt>
                <c:pt idx="7">
                  <c:v>7.9176829171388755E-2</c:v>
                </c:pt>
                <c:pt idx="8">
                  <c:v>0.11747781638166428</c:v>
                </c:pt>
                <c:pt idx="9">
                  <c:v>0.16386796803219167</c:v>
                </c:pt>
                <c:pt idx="10">
                  <c:v>0.21832970542708824</c:v>
                </c:pt>
                <c:pt idx="11">
                  <c:v>0.28084538618456867</c:v>
                </c:pt>
                <c:pt idx="12">
                  <c:v>0.35139730445933887</c:v>
                </c:pt>
                <c:pt idx="13">
                  <c:v>0.42996769116663514</c:v>
                </c:pt>
                <c:pt idx="14">
                  <c:v>0.51653871420789566</c:v>
                </c:pt>
                <c:pt idx="15">
                  <c:v>0.6110924786980505</c:v>
                </c:pt>
                <c:pt idx="16">
                  <c:v>0.71361102719441705</c:v>
                </c:pt>
                <c:pt idx="17">
                  <c:v>0.82407633992718732</c:v>
                </c:pt>
                <c:pt idx="18">
                  <c:v>0.94247033503149291</c:v>
                </c:pt>
                <c:pt idx="19">
                  <c:v>1.0687748687810346</c:v>
                </c:pt>
                <c:pt idx="20">
                  <c:v>1.2029717358232617</c:v>
                </c:pt>
                <c:pt idx="21">
                  <c:v>1.3450426694160895</c:v>
                </c:pt>
                <c:pt idx="22">
                  <c:v>1.4949693416661369</c:v>
                </c:pt>
                <c:pt idx="23">
                  <c:v>1.6527333637684745</c:v>
                </c:pt>
                <c:pt idx="24">
                  <c:v>1.8183162862478643</c:v>
                </c:pt>
                <c:pt idx="25">
                  <c:v>1.9916995992014821</c:v>
                </c:pt>
                <c:pt idx="26">
                  <c:v>2.1728647325431032</c:v>
                </c:pt>
                <c:pt idx="27">
                  <c:v>2.361793056248739</c:v>
                </c:pt>
                <c:pt idx="28">
                  <c:v>2.5584658806037122</c:v>
                </c:pt>
                <c:pt idx="29">
                  <c:v>2.7628644564511502</c:v>
                </c:pt>
                <c:pt idx="30">
                  <c:v>2.9749699754418892</c:v>
                </c:pt>
                <c:pt idx="31">
                  <c:v>3.1947635702857671</c:v>
                </c:pt>
                <c:pt idx="32">
                  <c:v>3.4222263150042971</c:v>
                </c:pt>
                <c:pt idx="33">
                  <c:v>3.657339225184701</c:v>
                </c:pt>
                <c:pt idx="34">
                  <c:v>3.9000832582352913</c:v>
                </c:pt>
                <c:pt idx="35">
                  <c:v>4.1504393136421855</c:v>
                </c:pt>
                <c:pt idx="36">
                  <c:v>4.408373436395542</c:v>
                </c:pt>
                <c:pt idx="37">
                  <c:v>4.6738511390822293</c:v>
                </c:pt>
                <c:pt idx="38">
                  <c:v>4.9468522042620924</c:v>
                </c:pt>
                <c:pt idx="39">
                  <c:v>5.2273563746255851</c:v>
                </c:pt>
                <c:pt idx="40">
                  <c:v>5.5153433591705081</c:v>
                </c:pt>
                <c:pt idx="41">
                  <c:v>5.8107928324423543</c:v>
                </c:pt>
                <c:pt idx="42">
                  <c:v>6.1136844338504801</c:v>
                </c:pt>
                <c:pt idx="43">
                  <c:v>6.4239977670528514</c:v>
                </c:pt>
                <c:pt idx="44">
                  <c:v>6.7417123994029753</c:v>
                </c:pt>
                <c:pt idx="45">
                  <c:v>7.0668078614533849</c:v>
                </c:pt>
                <c:pt idx="46">
                  <c:v>7.3992636465106711</c:v>
                </c:pt>
                <c:pt idx="47">
                  <c:v>7.7390592102376212</c:v>
                </c:pt>
                <c:pt idx="48">
                  <c:v>8.0861739702985052</c:v>
                </c:pt>
                <c:pt idx="49">
                  <c:v>8.4405873060439625</c:v>
                </c:pt>
                <c:pt idx="50">
                  <c:v>8.8022785582323149</c:v>
                </c:pt>
                <c:pt idx="51">
                  <c:v>9.1712294446431297</c:v>
                </c:pt>
                <c:pt idx="52">
                  <c:v>9.5474264786206469</c:v>
                </c:pt>
                <c:pt idx="53">
                  <c:v>9.9308585571787109</c:v>
                </c:pt>
                <c:pt idx="54">
                  <c:v>10.321514546175811</c:v>
                </c:pt>
                <c:pt idx="55">
                  <c:v>10.719383280064211</c:v>
                </c:pt>
                <c:pt idx="56">
                  <c:v>11.124453561659102</c:v>
                </c:pt>
                <c:pt idx="57">
                  <c:v>11.536714161926477</c:v>
                </c:pt>
                <c:pt idx="58">
                  <c:v>11.956153819788485</c:v>
                </c:pt>
                <c:pt idx="59">
                  <c:v>12.38276124194517</c:v>
                </c:pt>
                <c:pt idx="60">
                  <c:v>12.816525102711584</c:v>
                </c:pt>
                <c:pt idx="61">
                  <c:v>13.25743404386931</c:v>
                </c:pt>
                <c:pt idx="62">
                  <c:v>13.705476674531562</c:v>
                </c:pt>
                <c:pt idx="63">
                  <c:v>14.160641571021051</c:v>
                </c:pt>
                <c:pt idx="64">
                  <c:v>14.622917276759887</c:v>
                </c:pt>
                <c:pt idx="65">
                  <c:v>15.092292302170847</c:v>
                </c:pt>
                <c:pt idx="66">
                  <c:v>15.568755124589369</c:v>
                </c:pt>
                <c:pt idx="67">
                  <c:v>16.052294188185709</c:v>
                </c:pt>
                <c:pt idx="68">
                  <c:v>16.542897903896698</c:v>
                </c:pt>
                <c:pt idx="69">
                  <c:v>17.04055464936663</c:v>
                </c:pt>
                <c:pt idx="70">
                  <c:v>17.545252768896773</c:v>
                </c:pt>
                <c:pt idx="71">
                  <c:v>18.056980573403123</c:v>
                </c:pt>
                <c:pt idx="72">
                  <c:v>18.575726340381934</c:v>
                </c:pt>
                <c:pt idx="73">
                  <c:v>19.101478313882705</c:v>
                </c:pt>
                <c:pt idx="74">
                  <c:v>19.634224704488243</c:v>
                </c:pt>
                <c:pt idx="75">
                  <c:v>20.173953689301449</c:v>
                </c:pt>
                <c:pt idx="76">
                  <c:v>20.720653411938581</c:v>
                </c:pt>
                <c:pt idx="77">
                  <c:v>21.274311982528634</c:v>
                </c:pt>
                <c:pt idx="78">
                  <c:v>21.834917477718612</c:v>
                </c:pt>
                <c:pt idx="79">
                  <c:v>22.402457940684428</c:v>
                </c:pt>
                <c:pt idx="80">
                  <c:v>22.976921381147175</c:v>
                </c:pt>
                <c:pt idx="81">
                  <c:v>23.558295775394551</c:v>
                </c:pt>
                <c:pt idx="82">
                  <c:v>24.146569066307247</c:v>
                </c:pt>
                <c:pt idx="83">
                  <c:v>24.741729163390048</c:v>
                </c:pt>
                <c:pt idx="84">
                  <c:v>25.343763942807509</c:v>
                </c:pt>
                <c:pt idx="85">
                  <c:v>25.952661247424011</c:v>
                </c:pt>
                <c:pt idx="86">
                  <c:v>26.56840888684799</c:v>
                </c:pt>
                <c:pt idx="87">
                  <c:v>27.190994637480255</c:v>
                </c:pt>
                <c:pt idx="88">
                  <c:v>27.820406242566154</c:v>
                </c:pt>
                <c:pt idx="89">
                  <c:v>28.456631412251536</c:v>
                </c:pt>
                <c:pt idx="90">
                  <c:v>29.099657823642289</c:v>
                </c:pt>
                <c:pt idx="91">
                  <c:v>29.749473120867389</c:v>
                </c:pt>
                <c:pt idx="92">
                  <c:v>30.406064915145301</c:v>
                </c:pt>
                <c:pt idx="93">
                  <c:v>31.069420784853619</c:v>
                </c:pt>
                <c:pt idx="94">
                  <c:v>31.739528275601867</c:v>
                </c:pt>
                <c:pt idx="95">
                  <c:v>32.416374900307289</c:v>
                </c:pt>
                <c:pt idx="96">
                  <c:v>33.099948139273614</c:v>
                </c:pt>
                <c:pt idx="97">
                  <c:v>33.790235440272603</c:v>
                </c:pt>
                <c:pt idx="98">
                  <c:v>34.487224218628398</c:v>
                </c:pt>
                <c:pt idx="99">
                  <c:v>35.190901857304453</c:v>
                </c:pt>
                <c:pt idx="100">
                  <c:v>35.901255706993105</c:v>
                </c:pt>
                <c:pt idx="101">
                  <c:v>36.618271977656789</c:v>
                </c:pt>
                <c:pt idx="102">
                  <c:v>37.341934628980148</c:v>
                </c:pt>
                <c:pt idx="103">
                  <c:v>38.072226477618543</c:v>
                </c:pt>
                <c:pt idx="104">
                  <c:v>38.809130305572602</c:v>
                </c:pt>
                <c:pt idx="105">
                  <c:v>39.552628860354062</c:v>
                </c:pt>
                <c:pt idx="106">
                  <c:v>40.302704855153841</c:v>
                </c:pt>
                <c:pt idx="107">
                  <c:v>41.059340969012339</c:v>
                </c:pt>
                <c:pt idx="108">
                  <c:v>41.822519846991852</c:v>
                </c:pt>
                <c:pt idx="109">
                  <c:v>42.592224100351054</c:v>
                </c:pt>
                <c:pt idx="110">
                  <c:v>43.368436306721478</c:v>
                </c:pt>
                <c:pt idx="111">
                  <c:v>44.15113901028591</c:v>
                </c:pt>
                <c:pt idx="112">
                  <c:v>44.94031472195865</c:v>
                </c:pt>
                <c:pt idx="113">
                  <c:v>45.735945919567605</c:v>
                </c:pt>
                <c:pt idx="114">
                  <c:v>46.538015048038091</c:v>
                </c:pt>
                <c:pt idx="115">
                  <c:v>47.346504519578353</c:v>
                </c:pt>
                <c:pt idx="116">
                  <c:v>48.161396713866722</c:v>
                </c:pt>
                <c:pt idx="117">
                  <c:v>48.982673978240364</c:v>
                </c:pt>
                <c:pt idx="118">
                  <c:v>49.810318627885536</c:v>
                </c:pt>
                <c:pt idx="119">
                  <c:v>50.644312946029373</c:v>
                </c:pt>
                <c:pt idx="120">
                  <c:v>51.484639184133087</c:v>
                </c:pt>
                <c:pt idx="121">
                  <c:v>52.331279562086578</c:v>
                </c:pt>
                <c:pt idx="122">
                  <c:v>53.184216268404384</c:v>
                </c:pt>
                <c:pt idx="123">
                  <c:v>54.043431460422944</c:v>
                </c:pt>
                <c:pt idx="124">
                  <c:v>54.908907264499128</c:v>
                </c:pt>
                <c:pt idx="125">
                  <c:v>55.780625776209995</c:v>
                </c:pt>
                <c:pt idx="126">
                  <c:v>56.658569060553738</c:v>
                </c:pt>
                <c:pt idx="127">
                  <c:v>57.54271915215179</c:v>
                </c:pt>
                <c:pt idx="128">
                  <c:v>58.433058055452001</c:v>
                </c:pt>
                <c:pt idx="129">
                  <c:v>59.329567744932952</c:v>
                </c:pt>
                <c:pt idx="130">
                  <c:v>60.232230165309247</c:v>
                </c:pt>
                <c:pt idx="131">
                  <c:v>61.141027231737873</c:v>
                </c:pt>
                <c:pt idx="132">
                  <c:v>62.05594083002547</c:v>
                </c:pt>
                <c:pt idx="133">
                  <c:v>62.976952816836601</c:v>
                </c:pt>
                <c:pt idx="134">
                  <c:v>63.904045019902888</c:v>
                </c:pt>
                <c:pt idx="135">
                  <c:v>64.83719923823304</c:v>
                </c:pt>
                <c:pt idx="136">
                  <c:v>65.776397242323739</c:v>
                </c:pt>
                <c:pt idx="137">
                  <c:v>66.721620774371331</c:v>
                </c:pt>
                <c:pt idx="138">
                  <c:v>67.672851548484317</c:v>
                </c:pt>
                <c:pt idx="139">
                  <c:v>68.630071250896577</c:v>
                </c:pt>
                <c:pt idx="140">
                  <c:v>69.593261540181359</c:v>
                </c:pt>
                <c:pt idx="141">
                  <c:v>70.562404047465989</c:v>
                </c:pt>
                <c:pt idx="142">
                  <c:v>71.53748037664721</c:v>
                </c:pt>
                <c:pt idx="143">
                  <c:v>72.518472104607213</c:v>
                </c:pt>
                <c:pt idx="144">
                  <c:v>73.505360781430269</c:v>
                </c:pt>
                <c:pt idx="145">
                  <c:v>74.498127930620001</c:v>
                </c:pt>
                <c:pt idx="146">
                  <c:v>75.496755049317201</c:v>
                </c:pt>
                <c:pt idx="147">
                  <c:v>76.501223608518259</c:v>
                </c:pt>
                <c:pt idx="148">
                  <c:v>77.511515053294033</c:v>
                </c:pt>
                <c:pt idx="149">
                  <c:v>78.52761080300931</c:v>
                </c:pt>
                <c:pt idx="150">
                  <c:v>79.549492251542716</c:v>
                </c:pt>
                <c:pt idx="151">
                  <c:v>80.577141143215641</c:v>
                </c:pt>
                <c:pt idx="152">
                  <c:v>81.610539948971692</c:v>
                </c:pt>
                <c:pt idx="153">
                  <c:v>82.649671491142087</c:v>
                </c:pt>
                <c:pt idx="154">
                  <c:v>83.694518567950325</c:v>
                </c:pt>
                <c:pt idx="155">
                  <c:v>84.74506395371192</c:v>
                </c:pt>
                <c:pt idx="156">
                  <c:v>85.801290399034514</c:v>
                </c:pt>
                <c:pt idx="157">
                  <c:v>86.863180631018466</c:v>
                </c:pt>
                <c:pt idx="158">
                  <c:v>87.930717353457709</c:v>
                </c:pt>
                <c:pt idx="159">
                  <c:v>89.003883247041045</c:v>
                </c:pt>
                <c:pt idx="160">
                  <c:v>90.082660969553714</c:v>
                </c:pt>
                <c:pt idx="161">
                  <c:v>91.167033156079356</c:v>
                </c:pt>
                <c:pt idx="162">
                  <c:v>92.25698241920216</c:v>
                </c:pt>
                <c:pt idx="163">
                  <c:v>93.352491349209444</c:v>
                </c:pt>
                <c:pt idx="164">
                  <c:v>94.453542514294384</c:v>
                </c:pt>
                <c:pt idx="165">
                  <c:v>95.560118460759085</c:v>
                </c:pt>
                <c:pt idx="166">
                  <c:v>96.672201713217802</c:v>
                </c:pt>
                <c:pt idx="167">
                  <c:v>97.789774774800492</c:v>
                </c:pt>
                <c:pt idx="168">
                  <c:v>98.912820127356468</c:v>
                </c:pt>
                <c:pt idx="169">
                  <c:v>100.04132023165833</c:v>
                </c:pt>
                <c:pt idx="170">
                  <c:v>101.17525752760604</c:v>
                </c:pt>
                <c:pt idx="171">
                  <c:v>102.31461443443112</c:v>
                </c:pt>
                <c:pt idx="172">
                  <c:v>103.45937335090112</c:v>
                </c:pt>
                <c:pt idx="173">
                  <c:v>104.60951665552405</c:v>
                </c:pt>
                <c:pt idx="174">
                  <c:v>105.76502670675308</c:v>
                </c:pt>
                <c:pt idx="175">
                  <c:v>106.92588584319128</c:v>
                </c:pt>
                <c:pt idx="176">
                  <c:v>108.09207638379648</c:v>
                </c:pt>
                <c:pt idx="177">
                  <c:v>109.26358062808617</c:v>
                </c:pt>
                <c:pt idx="178">
                  <c:v>110.44038085634251</c:v>
                </c:pt>
                <c:pt idx="179">
                  <c:v>111.62245932981739</c:v>
                </c:pt>
                <c:pt idx="180">
                  <c:v>112.80979829093748</c:v>
                </c:pt>
                <c:pt idx="181">
                  <c:v>114.00237996350937</c:v>
                </c:pt>
                <c:pt idx="182">
                  <c:v>115.20018655292471</c:v>
                </c:pt>
                <c:pt idx="183">
                  <c:v>116.4032002463653</c:v>
                </c:pt>
                <c:pt idx="184">
                  <c:v>117.61140321300827</c:v>
                </c:pt>
                <c:pt idx="185">
                  <c:v>118.82477760423113</c:v>
                </c:pt>
                <c:pt idx="186">
                  <c:v>120.04330555381686</c:v>
                </c:pt>
                <c:pt idx="187">
                  <c:v>121.26696917815894</c:v>
                </c:pt>
                <c:pt idx="188">
                  <c:v>122.49575057646628</c:v>
                </c:pt>
                <c:pt idx="189">
                  <c:v>123.72963183096813</c:v>
                </c:pt>
                <c:pt idx="190">
                  <c:v>124.96859500711891</c:v>
                </c:pt>
                <c:pt idx="191">
                  <c:v>126.21262215380287</c:v>
                </c:pt>
                <c:pt idx="192">
                  <c:v>127.46169530353878</c:v>
                </c:pt>
                <c:pt idx="193">
                  <c:v>128.71579647268433</c:v>
                </c:pt>
                <c:pt idx="194">
                  <c:v>129.97490766164066</c:v>
                </c:pt>
                <c:pt idx="195">
                  <c:v>131.23901085505636</c:v>
                </c:pt>
                <c:pt idx="196">
                  <c:v>132.50808802203181</c:v>
                </c:pt>
                <c:pt idx="197">
                  <c:v>133.78212111632291</c:v>
                </c:pt>
                <c:pt idx="198">
                  <c:v>135.06109207654495</c:v>
                </c:pt>
                <c:pt idx="199">
                  <c:v>136.34498282637617</c:v>
                </c:pt>
                <c:pt idx="200">
                  <c:v>137.63377527476106</c:v>
                </c:pt>
                <c:pt idx="201">
                  <c:v>138.92745131611372</c:v>
                </c:pt>
                <c:pt idx="202">
                  <c:v>140.22599283052065</c:v>
                </c:pt>
                <c:pt idx="203">
                  <c:v>141.52938168394365</c:v>
                </c:pt>
                <c:pt idx="204">
                  <c:v>142.8375997284223</c:v>
                </c:pt>
                <c:pt idx="205">
                  <c:v>144.1506288022762</c:v>
                </c:pt>
                <c:pt idx="206">
                  <c:v>145.46845073030707</c:v>
                </c:pt>
                <c:pt idx="207">
                  <c:v>146.79104732400052</c:v>
                </c:pt>
                <c:pt idx="208">
                  <c:v>148.1184003817275</c:v>
                </c:pt>
                <c:pt idx="209">
                  <c:v>149.45049168894562</c:v>
                </c:pt>
                <c:pt idx="210">
                  <c:v>150.78730301840002</c:v>
                </c:pt>
                <c:pt idx="211">
                  <c:v>152.12881613032408</c:v>
                </c:pt>
                <c:pt idx="212">
                  <c:v>153.4750127726397</c:v>
                </c:pt>
                <c:pt idx="213">
                  <c:v>154.82587468115739</c:v>
                </c:pt>
                <c:pt idx="214">
                  <c:v>156.18138357977588</c:v>
                </c:pt>
                <c:pt idx="215">
                  <c:v>157.5415211806816</c:v>
                </c:pt>
                <c:pt idx="216">
                  <c:v>158.90626918454765</c:v>
                </c:pt>
                <c:pt idx="217">
                  <c:v>160.27560928073251</c:v>
                </c:pt>
                <c:pt idx="218">
                  <c:v>161.64952314747833</c:v>
                </c:pt>
                <c:pt idx="219">
                  <c:v>163.02799245210889</c:v>
                </c:pt>
                <c:pt idx="220">
                  <c:v>164.41099885122722</c:v>
                </c:pt>
                <c:pt idx="221">
                  <c:v>165.79852399091274</c:v>
                </c:pt>
                <c:pt idx="222">
                  <c:v>167.19054950691816</c:v>
                </c:pt>
                <c:pt idx="223">
                  <c:v>168.5870570248658</c:v>
                </c:pt>
                <c:pt idx="224">
                  <c:v>169.98802816044363</c:v>
                </c:pt>
                <c:pt idx="225">
                  <c:v>171.39344451960088</c:v>
                </c:pt>
                <c:pt idx="226">
                  <c:v>172.80328769874316</c:v>
                </c:pt>
                <c:pt idx="227">
                  <c:v>174.21753928492726</c:v>
                </c:pt>
                <c:pt idx="228">
                  <c:v>175.63618085605532</c:v>
                </c:pt>
                <c:pt idx="229">
                  <c:v>177.05919398106889</c:v>
                </c:pt>
                <c:pt idx="230">
                  <c:v>178.48656022014211</c:v>
                </c:pt>
                <c:pt idx="231">
                  <c:v>179.91826112487485</c:v>
                </c:pt>
                <c:pt idx="232">
                  <c:v>181.35427823848499</c:v>
                </c:pt>
                <c:pt idx="233">
                  <c:v>182.79459309600063</c:v>
                </c:pt>
                <c:pt idx="234">
                  <c:v>184.2391872244514</c:v>
                </c:pt>
                <c:pt idx="235">
                  <c:v>185.68804214305965</c:v>
                </c:pt>
                <c:pt idx="236">
                  <c:v>187.14113936343088</c:v>
                </c:pt>
                <c:pt idx="237">
                  <c:v>188.59846038974388</c:v>
                </c:pt>
                <c:pt idx="238">
                  <c:v>190.05998671894011</c:v>
                </c:pt>
                <c:pt idx="239">
                  <c:v>191.52569984091289</c:v>
                </c:pt>
                <c:pt idx="240">
                  <c:v>192.99558123869571</c:v>
                </c:pt>
                <c:pt idx="241">
                  <c:v>194.46961238865032</c:v>
                </c:pt>
                <c:pt idx="242">
                  <c:v>195.94777476065411</c:v>
                </c:pt>
                <c:pt idx="243">
                  <c:v>197.43004981828696</c:v>
                </c:pt>
                <c:pt idx="244">
                  <c:v>198.91641901901761</c:v>
                </c:pt>
                <c:pt idx="245">
                  <c:v>200.40686381438945</c:v>
                </c:pt>
                <c:pt idx="246">
                  <c:v>201.90136565020575</c:v>
                </c:pt>
                <c:pt idx="247">
                  <c:v>203.39990596671424</c:v>
                </c:pt>
                <c:pt idx="248">
                  <c:v>204.90246619879136</c:v>
                </c:pt>
                <c:pt idx="249">
                  <c:v>206.40902777612555</c:v>
                </c:pt>
                <c:pt idx="250">
                  <c:v>207.9195721234004</c:v>
                </c:pt>
                <c:pt idx="251">
                  <c:v>209.43407905116553</c:v>
                </c:pt>
                <c:pt idx="252">
                  <c:v>210.95252514660507</c:v>
                </c:pt>
                <c:pt idx="253">
                  <c:v>212.47488538368131</c:v>
                </c:pt>
                <c:pt idx="254">
                  <c:v>214.00113473342174</c:v>
                </c:pt>
                <c:pt idx="255">
                  <c:v>215.53124816418278</c:v>
                </c:pt>
                <c:pt idx="256">
                  <c:v>217.06520064191238</c:v>
                </c:pt>
                <c:pt idx="257">
                  <c:v>218.60296713041126</c:v>
                </c:pt>
                <c:pt idx="258">
                  <c:v>220.14452259159319</c:v>
                </c:pt>
                <c:pt idx="259">
                  <c:v>221.68984198574395</c:v>
                </c:pt>
                <c:pt idx="260">
                  <c:v>223.23890027177916</c:v>
                </c:pt>
                <c:pt idx="261">
                  <c:v>224.7916724075009</c:v>
                </c:pt>
                <c:pt idx="262">
                  <c:v>226.34813334985307</c:v>
                </c:pt>
                <c:pt idx="263">
                  <c:v>227.90825805517559</c:v>
                </c:pt>
                <c:pt idx="264">
                  <c:v>229.4720214794574</c:v>
                </c:pt>
                <c:pt idx="265">
                  <c:v>231.03939857858811</c:v>
                </c:pt>
                <c:pt idx="266">
                  <c:v>232.61036430860852</c:v>
                </c:pt>
                <c:pt idx="267">
                  <c:v>234.18489362595994</c:v>
                </c:pt>
                <c:pt idx="268">
                  <c:v>235.76296148773207</c:v>
                </c:pt>
                <c:pt idx="269">
                  <c:v>237.34454285190984</c:v>
                </c:pt>
                <c:pt idx="270">
                  <c:v>238.92961267761882</c:v>
                </c:pt>
                <c:pt idx="271">
                  <c:v>240.51814592536951</c:v>
                </c:pt>
                <c:pt idx="272">
                  <c:v>242.11011755730019</c:v>
                </c:pt>
                <c:pt idx="273">
                  <c:v>243.70550253741862</c:v>
                </c:pt>
                <c:pt idx="274">
                  <c:v>245.3042758318424</c:v>
                </c:pt>
                <c:pt idx="275">
                  <c:v>246.9064124090381</c:v>
                </c:pt>
                <c:pt idx="276">
                  <c:v>248.51188724005888</c:v>
                </c:pt>
                <c:pt idx="277">
                  <c:v>250.12067529878118</c:v>
                </c:pt>
                <c:pt idx="278">
                  <c:v>251.73275156213975</c:v>
                </c:pt>
                <c:pt idx="279">
                  <c:v>253.34809101036151</c:v>
                </c:pt>
                <c:pt idx="280">
                  <c:v>254.96666862719815</c:v>
                </c:pt>
                <c:pt idx="281">
                  <c:v>256.58845940015726</c:v>
                </c:pt>
                <c:pt idx="282">
                  <c:v>258.21343832073234</c:v>
                </c:pt>
                <c:pt idx="283">
                  <c:v>259.84158038463119</c:v>
                </c:pt>
                <c:pt idx="284">
                  <c:v>261.47286059200331</c:v>
                </c:pt>
                <c:pt idx="285">
                  <c:v>263.10725394766558</c:v>
                </c:pt>
                <c:pt idx="286">
                  <c:v>264.74473546132702</c:v>
                </c:pt>
                <c:pt idx="287">
                  <c:v>266.38528014781173</c:v>
                </c:pt>
                <c:pt idx="288">
                  <c:v>268.02886302728092</c:v>
                </c:pt>
                <c:pt idx="289">
                  <c:v>269.67545912545324</c:v>
                </c:pt>
                <c:pt idx="290">
                  <c:v>271.325043473824</c:v>
                </c:pt>
                <c:pt idx="291">
                  <c:v>272.97759110988278</c:v>
                </c:pt>
                <c:pt idx="292">
                  <c:v>274.63307707732997</c:v>
                </c:pt>
                <c:pt idx="293">
                  <c:v>276.29147642629169</c:v>
                </c:pt>
                <c:pt idx="294">
                  <c:v>277.95276421353344</c:v>
                </c:pt>
                <c:pt idx="295">
                  <c:v>279.61691550267227</c:v>
                </c:pt>
                <c:pt idx="296">
                  <c:v>281.28390536438786</c:v>
                </c:pt>
                <c:pt idx="297">
                  <c:v>282.95370887663182</c:v>
                </c:pt>
                <c:pt idx="298">
                  <c:v>284.62628351581145</c:v>
                </c:pt>
                <c:pt idx="299">
                  <c:v>286.30155155276105</c:v>
                </c:pt>
                <c:pt idx="300">
                  <c:v>287.97941767922237</c:v>
                </c:pt>
                <c:pt idx="301">
                  <c:v>289.65978663032428</c:v>
                </c:pt>
                <c:pt idx="302">
                  <c:v>291.34256318635494</c:v>
                </c:pt>
                <c:pt idx="303">
                  <c:v>293.02765217451474</c:v>
                </c:pt>
                <c:pt idx="304">
                  <c:v>294.71495847065017</c:v>
                </c:pt>
                <c:pt idx="305">
                  <c:v>296.40438700096882</c:v>
                </c:pt>
                <c:pt idx="306">
                  <c:v>298.09584274373503</c:v>
                </c:pt>
                <c:pt idx="307">
                  <c:v>299.78923073094637</c:v>
                </c:pt>
                <c:pt idx="308">
                  <c:v>301.48445604999102</c:v>
                </c:pt>
                <c:pt idx="309">
                  <c:v>303.18142384528562</c:v>
                </c:pt>
                <c:pt idx="310">
                  <c:v>304.88003931989397</c:v>
                </c:pt>
                <c:pt idx="311">
                  <c:v>306.58020773712639</c:v>
                </c:pt>
                <c:pt idx="312">
                  <c:v>308.28183442211963</c:v>
                </c:pt>
                <c:pt idx="313">
                  <c:v>309.9848247633974</c:v>
                </c:pt>
                <c:pt idx="314">
                  <c:v>311.68908421441154</c:v>
                </c:pt>
                <c:pt idx="315">
                  <c:v>313.39451829506379</c:v>
                </c:pt>
                <c:pt idx="316">
                  <c:v>315.10103259320795</c:v>
                </c:pt>
                <c:pt idx="317">
                  <c:v>316.8085327661326</c:v>
                </c:pt>
                <c:pt idx="318">
                  <c:v>318.51692454202464</c:v>
                </c:pt>
                <c:pt idx="319">
                  <c:v>320.2261137214129</c:v>
                </c:pt>
                <c:pt idx="320">
                  <c:v>321.93600617859266</c:v>
                </c:pt>
                <c:pt idx="321">
                  <c:v>323.64651485678212</c:v>
                </c:pt>
                <c:pt idx="322">
                  <c:v>325.3575667580202</c:v>
                </c:pt>
                <c:pt idx="323">
                  <c:v>327.06909593880772</c:v>
                </c:pt>
                <c:pt idx="324">
                  <c:v>328.78103651063037</c:v>
                </c:pt>
                <c:pt idx="325">
                  <c:v>330.49332264061275</c:v>
                </c:pt>
                <c:pt idx="326">
                  <c:v>332.20588855216323</c:v>
                </c:pt>
                <c:pt idx="327">
                  <c:v>333.91866852560935</c:v>
                </c:pt>
                <c:pt idx="328">
                  <c:v>335.63159689882315</c:v>
                </c:pt>
                <c:pt idx="329">
                  <c:v>337.34460806783761</c:v>
                </c:pt>
                <c:pt idx="330">
                  <c:v>339.05763648745312</c:v>
                </c:pt>
                <c:pt idx="331">
                  <c:v>340.77061667183466</c:v>
                </c:pt>
                <c:pt idx="332">
                  <c:v>342.48348319509944</c:v>
                </c:pt>
                <c:pt idx="333">
                  <c:v>344.19617069189519</c:v>
                </c:pt>
                <c:pt idx="334">
                  <c:v>345.90861385796899</c:v>
                </c:pt>
                <c:pt idx="335">
                  <c:v>347.62074745072664</c:v>
                </c:pt>
                <c:pt idx="336">
                  <c:v>349.33250628978277</c:v>
                </c:pt>
                <c:pt idx="337">
                  <c:v>351.04382525750145</c:v>
                </c:pt>
                <c:pt idx="338">
                  <c:v>352.75463929952787</c:v>
                </c:pt>
                <c:pt idx="339">
                  <c:v>354.46488342531006</c:v>
                </c:pt>
                <c:pt idx="340">
                  <c:v>356.17449270861215</c:v>
                </c:pt>
                <c:pt idx="341">
                  <c:v>357.88340228801769</c:v>
                </c:pt>
                <c:pt idx="342">
                  <c:v>359.59154736742431</c:v>
                </c:pt>
                <c:pt idx="343">
                  <c:v>361.29886321652884</c:v>
                </c:pt>
                <c:pt idx="344">
                  <c:v>363.00528517130351</c:v>
                </c:pt>
                <c:pt idx="345">
                  <c:v>364.71074863446302</c:v>
                </c:pt>
                <c:pt idx="346">
                  <c:v>366.4151890759224</c:v>
                </c:pt>
                <c:pt idx="347">
                  <c:v>368.118542033246</c:v>
                </c:pt>
                <c:pt idx="348">
                  <c:v>369.8207438654083</c:v>
                </c:pt>
                <c:pt idx="349">
                  <c:v>371.52173250571508</c:v>
                </c:pt>
                <c:pt idx="350">
                  <c:v>373.22144670722844</c:v>
                </c:pt>
                <c:pt idx="351">
                  <c:v>374.91982528898967</c:v>
                </c:pt>
                <c:pt idx="352">
                  <c:v>376.61680713637691</c:v>
                </c:pt>
                <c:pt idx="353">
                  <c:v>378.31233120145504</c:v>
                </c:pt>
                <c:pt idx="354">
                  <c:v>380.00633650331719</c:v>
                </c:pt>
                <c:pt idx="355">
                  <c:v>381.69876212841882</c:v>
                </c:pt>
                <c:pt idx="356">
                  <c:v>383.38954723090364</c:v>
                </c:pt>
                <c:pt idx="357">
                  <c:v>385.07863103292175</c:v>
                </c:pt>
                <c:pt idx="358">
                  <c:v>386.76595282494003</c:v>
                </c:pt>
                <c:pt idx="359">
                  <c:v>388.45145196604477</c:v>
                </c:pt>
                <c:pt idx="360">
                  <c:v>390.13508354435527</c:v>
                </c:pt>
                <c:pt idx="361">
                  <c:v>391.81683401816588</c:v>
                </c:pt>
                <c:pt idx="362">
                  <c:v>393.49670551863704</c:v>
                </c:pt>
                <c:pt idx="363">
                  <c:v>395.17470017161696</c:v>
                </c:pt>
                <c:pt idx="364">
                  <c:v>396.85082009765847</c:v>
                </c:pt>
                <c:pt idx="365">
                  <c:v>398.52506741203592</c:v>
                </c:pt>
                <c:pt idx="366">
                  <c:v>400.19744422476191</c:v>
                </c:pt>
                <c:pt idx="367">
                  <c:v>401.86795264060396</c:v>
                </c:pt>
                <c:pt idx="368">
                  <c:v>403.53659475910115</c:v>
                </c:pt>
                <c:pt idx="369">
                  <c:v>405.20337267458075</c:v>
                </c:pt>
                <c:pt idx="370">
                  <c:v>406.86828847617465</c:v>
                </c:pt>
                <c:pt idx="371">
                  <c:v>408.53134424783576</c:v>
                </c:pt>
                <c:pt idx="372">
                  <c:v>410.19254206835433</c:v>
                </c:pt>
                <c:pt idx="373">
                  <c:v>411.85188401137435</c:v>
                </c:pt>
                <c:pt idx="374">
                  <c:v>413.50937214540983</c:v>
                </c:pt>
                <c:pt idx="375">
                  <c:v>415.16500853386066</c:v>
                </c:pt>
                <c:pt idx="376">
                  <c:v>416.81879523502903</c:v>
                </c:pt>
                <c:pt idx="377">
                  <c:v>418.47073430213533</c:v>
                </c:pt>
                <c:pt idx="378">
                  <c:v>420.12082778333405</c:v>
                </c:pt>
                <c:pt idx="379">
                  <c:v>421.76907772172979</c:v>
                </c:pt>
                <c:pt idx="380">
                  <c:v>423.41548615539301</c:v>
                </c:pt>
                <c:pt idx="381">
                  <c:v>425.0600551173759</c:v>
                </c:pt>
                <c:pt idx="382">
                  <c:v>426.70278663572799</c:v>
                </c:pt>
                <c:pt idx="383">
                  <c:v>428.3436827335118</c:v>
                </c:pt>
                <c:pt idx="384">
                  <c:v>429.98274542881853</c:v>
                </c:pt>
                <c:pt idx="385">
                  <c:v>431.61997673478351</c:v>
                </c:pt>
                <c:pt idx="386">
                  <c:v>433.2553786596016</c:v>
                </c:pt>
                <c:pt idx="387">
                  <c:v>434.88895320654268</c:v>
                </c:pt>
                <c:pt idx="388">
                  <c:v>436.52070237396691</c:v>
                </c:pt>
                <c:pt idx="389">
                  <c:v>438.15062815534009</c:v>
                </c:pt>
                <c:pt idx="390">
                  <c:v>439.77873253924878</c:v>
                </c:pt>
                <c:pt idx="391">
                  <c:v>441.40501750941553</c:v>
                </c:pt>
                <c:pt idx="392">
                  <c:v>443.02948504471397</c:v>
                </c:pt>
                <c:pt idx="393">
                  <c:v>444.65213711918369</c:v>
                </c:pt>
                <c:pt idx="394">
                  <c:v>446.27297570204541</c:v>
                </c:pt>
                <c:pt idx="395">
                  <c:v>447.89200275771583</c:v>
                </c:pt>
                <c:pt idx="396">
                  <c:v>449.50922024582241</c:v>
                </c:pt>
                <c:pt idx="397">
                  <c:v>451.12463012121822</c:v>
                </c:pt>
                <c:pt idx="398">
                  <c:v>452.73823433399667</c:v>
                </c:pt>
                <c:pt idx="399">
                  <c:v>454.35003482950623</c:v>
                </c:pt>
                <c:pt idx="400">
                  <c:v>455.96003354836495</c:v>
                </c:pt>
                <c:pt idx="401">
                  <c:v>471.96107300060953</c:v>
                </c:pt>
                <c:pt idx="402">
                  <c:v>487.78318333211666</c:v>
                </c:pt>
                <c:pt idx="403">
                  <c:v>503.42825807706595</c:v>
                </c:pt>
                <c:pt idx="404">
                  <c:v>518.89814542549937</c:v>
                </c:pt>
                <c:pt idx="405">
                  <c:v>534.19464958529625</c:v>
                </c:pt>
                <c:pt idx="406">
                  <c:v>549.31953209177277</c:v>
                </c:pt>
                <c:pt idx="407">
                  <c:v>564.27451306730495</c:v>
                </c:pt>
                <c:pt idx="408">
                  <c:v>579.06127243324454</c:v>
                </c:pt>
                <c:pt idx="409">
                  <c:v>593.68145107627743</c:v>
                </c:pt>
                <c:pt idx="410">
                  <c:v>608.13665197126136</c:v>
                </c:pt>
                <c:pt idx="411">
                  <c:v>622.42844126247451</c:v>
                </c:pt>
                <c:pt idx="412">
                  <c:v>636.558349305104</c:v>
                </c:pt>
                <c:pt idx="413">
                  <c:v>650.52787166871224</c:v>
                </c:pt>
                <c:pt idx="414">
                  <c:v>664.33847010432908</c:v>
                </c:pt>
                <c:pt idx="415">
                  <c:v>677.9915734767344</c:v>
                </c:pt>
                <c:pt idx="416">
                  <c:v>691.48857866341723</c:v>
                </c:pt>
                <c:pt idx="417">
                  <c:v>704.83085142162349</c:v>
                </c:pt>
                <c:pt idx="418">
                  <c:v>718.01972722483549</c:v>
                </c:pt>
                <c:pt idx="419">
                  <c:v>731.05651206995776</c:v>
                </c:pt>
                <c:pt idx="420">
                  <c:v>743.94248325642502</c:v>
                </c:pt>
                <c:pt idx="421">
                  <c:v>756.67889013838635</c:v>
                </c:pt>
                <c:pt idx="422">
                  <c:v>769.26695485106575</c:v>
                </c:pt>
                <c:pt idx="423">
                  <c:v>781.70787301234577</c:v>
                </c:pt>
                <c:pt idx="424">
                  <c:v>794.00281440057267</c:v>
                </c:pt>
                <c:pt idx="425">
                  <c:v>806.15292360953242</c:v>
                </c:pt>
                <c:pt idx="426">
                  <c:v>818.15932068150437</c:v>
                </c:pt>
                <c:pt idx="427">
                  <c:v>830.02310171925626</c:v>
                </c:pt>
                <c:pt idx="428">
                  <c:v>841.74533947780549</c:v>
                </c:pt>
                <c:pt idx="429">
                  <c:v>853.32708393673147</c:v>
                </c:pt>
                <c:pt idx="430">
                  <c:v>864.76936285379099</c:v>
                </c:pt>
                <c:pt idx="431">
                  <c:v>876.07318230055296</c:v>
                </c:pt>
                <c:pt idx="432">
                  <c:v>887.23952718073645</c:v>
                </c:pt>
                <c:pt idx="433">
                  <c:v>898.26936173190711</c:v>
                </c:pt>
                <c:pt idx="434">
                  <c:v>909.16363001115553</c:v>
                </c:pt>
                <c:pt idx="435">
                  <c:v>919.92325636535645</c:v>
                </c:pt>
                <c:pt idx="436">
                  <c:v>930.54914588657891</c:v>
                </c:pt>
                <c:pt idx="437">
                  <c:v>941.04218485319529</c:v>
                </c:pt>
                <c:pt idx="438">
                  <c:v>951.40324115721126</c:v>
                </c:pt>
                <c:pt idx="439">
                  <c:v>961.6331647183174</c:v>
                </c:pt>
                <c:pt idx="440">
                  <c:v>971.73278788514222</c:v>
                </c:pt>
                <c:pt idx="441">
                  <c:v>981.70292582416516</c:v>
                </c:pt>
                <c:pt idx="442">
                  <c:v>991.54437689673011</c:v>
                </c:pt>
                <c:pt idx="443">
                  <c:v>1001.2579230245801</c:v>
                </c:pt>
                <c:pt idx="444">
                  <c:v>1010.8443300443178</c:v>
                </c:pt>
                <c:pt idx="445">
                  <c:v>1020.3043480511785</c:v>
                </c:pt>
                <c:pt idx="446">
                  <c:v>1029.6387117324891</c:v>
                </c:pt>
                <c:pt idx="447">
                  <c:v>1038.8481406911674</c:v>
                </c:pt>
                <c:pt idx="448">
                  <c:v>1047.9333397596049</c:v>
                </c:pt>
                <c:pt idx="449">
                  <c:v>1056.8949993042629</c:v>
                </c:pt>
                <c:pt idx="450">
                  <c:v>1065.7337955212961</c:v>
                </c:pt>
                <c:pt idx="451">
                  <c:v>1074.4503907235073</c:v>
                </c:pt>
                <c:pt idx="452">
                  <c:v>1083.0454336189248</c:v>
                </c:pt>
                <c:pt idx="453">
                  <c:v>1091.5195595812838</c:v>
                </c:pt>
                <c:pt idx="454">
                  <c:v>1099.8733909126793</c:v>
                </c:pt>
                <c:pt idx="455">
                  <c:v>1108.1075370986523</c:v>
                </c:pt>
                <c:pt idx="456">
                  <c:v>1116.2225950559571</c:v>
                </c:pt>
                <c:pt idx="457">
                  <c:v>1124.2191493732512</c:v>
                </c:pt>
                <c:pt idx="458">
                  <c:v>1132.09777254494</c:v>
                </c:pt>
                <c:pt idx="459">
                  <c:v>1139.8590251983981</c:v>
                </c:pt>
                <c:pt idx="460">
                  <c:v>1147.5034563147847</c:v>
                </c:pt>
                <c:pt idx="461">
                  <c:v>1155.0316034436596</c:v>
                </c:pt>
                <c:pt idx="462">
                  <c:v>1162.4439929116011</c:v>
                </c:pt>
                <c:pt idx="463">
                  <c:v>1169.7411400250207</c:v>
                </c:pt>
                <c:pt idx="464">
                  <c:v>1176.9235492673604</c:v>
                </c:pt>
                <c:pt idx="465">
                  <c:v>1183.9917144908559</c:v>
                </c:pt>
                <c:pt idx="466">
                  <c:v>1190.9461191030416</c:v>
                </c:pt>
                <c:pt idx="467">
                  <c:v>1197.7872362481671</c:v>
                </c:pt>
                <c:pt idx="468">
                  <c:v>1204.5155289836905</c:v>
                </c:pt>
                <c:pt idx="469">
                  <c:v>1211.1314504520108</c:v>
                </c:pt>
                <c:pt idx="470">
                  <c:v>1217.6354440475943</c:v>
                </c:pt>
                <c:pt idx="471">
                  <c:v>1224.0279435796492</c:v>
                </c:pt>
                <c:pt idx="472">
                  <c:v>1230.3093734304941</c:v>
                </c:pt>
                <c:pt idx="473">
                  <c:v>1236.4801487097689</c:v>
                </c:pt>
                <c:pt idx="474">
                  <c:v>1242.540675404628</c:v>
                </c:pt>
                <c:pt idx="475">
                  <c:v>1248.4913505260561</c:v>
                </c:pt>
                <c:pt idx="476">
                  <c:v>1254.3325622514435</c:v>
                </c:pt>
                <c:pt idx="477">
                  <c:v>1260.0646900635552</c:v>
                </c:pt>
                <c:pt idx="478">
                  <c:v>1265.6881048860278</c:v>
                </c:pt>
                <c:pt idx="479">
                  <c:v>1271.2031692155244</c:v>
                </c:pt>
                <c:pt idx="480">
                  <c:v>1276.6102372506814</c:v>
                </c:pt>
                <c:pt idx="481">
                  <c:v>1281.9096550179734</c:v>
                </c:pt>
                <c:pt idx="482">
                  <c:v>1287.1017604946292</c:v>
                </c:pt>
                <c:pt idx="483">
                  <c:v>1292.1868837287286</c:v>
                </c:pt>
                <c:pt idx="484">
                  <c:v>1297.1653469566097</c:v>
                </c:pt>
                <c:pt idx="485">
                  <c:v>1302.0374647177216</c:v>
                </c:pt>
                <c:pt idx="486">
                  <c:v>1306.8035439670537</c:v>
                </c:pt>
                <c:pt idx="487">
                  <c:v>1311.4638841852804</c:v>
                </c:pt>
                <c:pt idx="488">
                  <c:v>1316.0187774867595</c:v>
                </c:pt>
                <c:pt idx="489">
                  <c:v>1320.4685087255266</c:v>
                </c:pt>
                <c:pt idx="490">
                  <c:v>1324.8133555994336</c:v>
                </c:pt>
                <c:pt idx="491">
                  <c:v>1329.0535887525841</c:v>
                </c:pt>
                <c:pt idx="492">
                  <c:v>1333.1894718762205</c:v>
                </c:pt>
                <c:pt idx="493">
                  <c:v>1337.221261808231</c:v>
                </c:pt>
                <c:pt idx="494">
                  <c:v>1341.1492086314452</c:v>
                </c:pt>
                <c:pt idx="495">
                  <c:v>1344.9735557709007</c:v>
                </c:pt>
                <c:pt idx="496">
                  <c:v>1348.6945400902691</c:v>
                </c:pt>
                <c:pt idx="497">
                  <c:v>1352.3123919876414</c:v>
                </c:pt>
                <c:pt idx="498">
                  <c:v>1355.8273354908845</c:v>
                </c:pt>
                <c:pt idx="499">
                  <c:v>1359.2395883527934</c:v>
                </c:pt>
                <c:pt idx="500">
                  <c:v>1362.5493621462758</c:v>
                </c:pt>
                <c:pt idx="501">
                  <c:v>1365.7568623598231</c:v>
                </c:pt>
                <c:pt idx="502">
                  <c:v>1368.8622884935346</c:v>
                </c:pt>
                <c:pt idx="503">
                  <c:v>1371.8658341559844</c:v>
                </c:pt>
                <c:pt idx="504">
                  <c:v>1374.7676871622316</c:v>
                </c:pt>
                <c:pt idx="505">
                  <c:v>1377.5680296332987</c:v>
                </c:pt>
                <c:pt idx="506">
                  <c:v>1380.2670380974635</c:v>
                </c:pt>
                <c:pt idx="507">
                  <c:v>1382.8648835937252</c:v>
                </c:pt>
                <c:pt idx="508">
                  <c:v>1385.3617317778323</c:v>
                </c:pt>
                <c:pt idx="509">
                  <c:v>1387.7577430312767</c:v>
                </c:pt>
                <c:pt idx="510">
                  <c:v>1390.053072573678</c:v>
                </c:pt>
                <c:pt idx="511">
                  <c:v>1392.2478705790056</c:v>
                </c:pt>
                <c:pt idx="512">
                  <c:v>1394.3422822960968</c:v>
                </c:pt>
                <c:pt idx="513">
                  <c:v>1396.3364481739454</c:v>
                </c:pt>
                <c:pt idx="514">
                  <c:v>1398.2305039922492</c:v>
                </c:pt>
                <c:pt idx="515">
                  <c:v>1400.0245809976996</c:v>
                </c:pt>
                <c:pt idx="516">
                  <c:v>1401.7188060465073</c:v>
                </c:pt>
                <c:pt idx="517">
                  <c:v>1403.3133017536388</c:v>
                </c:pt>
                <c:pt idx="518">
                  <c:v>1404.8081866492232</c:v>
                </c:pt>
                <c:pt idx="519">
                  <c:v>1406.2035753425605</c:v>
                </c:pt>
                <c:pt idx="520">
                  <c:v>1407.4995786941179</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2EC3-45DE-9EED-17088B7968F0}"/>
            </c:ext>
          </c:extLst>
        </c:ser>
        <c:ser>
          <c:idx val="6"/>
          <c:order val="5"/>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Trajecto!$D$155</c:f>
              <c:numCache>
                <c:formatCode>0</c:formatCode>
                <c:ptCount val="1"/>
                <c:pt idx="0">
                  <c:v>127.26330746820059</c:v>
                </c:pt>
              </c:numCache>
            </c:numRef>
          </c:xVal>
          <c:yVal>
            <c:numRef>
              <c:f>Trajecto!$C$155</c:f>
              <c:numCache>
                <c:formatCode>0</c:formatCode>
                <c:ptCount val="1"/>
                <c:pt idx="0">
                  <c:v>703.74978934705894</c:v>
                </c:pt>
              </c:numCache>
            </c:numRef>
          </c:yVal>
          <c:smooth val="0"/>
          <c:extLst>
            <c:ext xmlns:c16="http://schemas.microsoft.com/office/drawing/2014/chart" uri="{C3380CC4-5D6E-409C-BE32-E72D297353CC}">
              <c16:uniqueId val="{00000006-2EC3-45DE-9EED-17088B7968F0}"/>
            </c:ext>
          </c:extLst>
        </c:ser>
        <c:ser>
          <c:idx val="7"/>
          <c:order val="6"/>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Trajecto!$D$156</c:f>
              <c:numCache>
                <c:formatCode>0</c:formatCode>
                <c:ptCount val="1"/>
                <c:pt idx="0">
                  <c:v>854.30121206702029</c:v>
                </c:pt>
              </c:numCache>
            </c:numRef>
          </c:xVal>
          <c:yVal>
            <c:numRef>
              <c:f>Trajecto!$C$156</c:f>
              <c:numCache>
                <c:formatCode>0</c:formatCode>
                <c:ptCount val="1"/>
                <c:pt idx="0">
                  <c:v>707.66782759301032</c:v>
                </c:pt>
              </c:numCache>
            </c:numRef>
          </c:yVal>
          <c:smooth val="0"/>
          <c:extLst>
            <c:ext xmlns:c16="http://schemas.microsoft.com/office/drawing/2014/chart" uri="{C3380CC4-5D6E-409C-BE32-E72D297353CC}">
              <c16:uniqueId val="{00000007-2EC3-45DE-9EED-17088B7968F0}"/>
            </c:ext>
          </c:extLst>
        </c:ser>
        <c:ser>
          <c:idx val="8"/>
          <c:order val="7"/>
          <c:tx>
            <c:strRef>
              <c:f>Trajecto!$D$158</c:f>
              <c:strCache>
                <c:ptCount val="1"/>
                <c:pt idx="0">
                  <c:v>Arc de triomphe</c:v>
                </c:pt>
              </c:strCache>
            </c:strRef>
          </c:tx>
          <c:spPr>
            <a:ln>
              <a:solidFill>
                <a:srgbClr val="C0C0C0"/>
              </a:solidFill>
            </a:ln>
          </c:spPr>
          <c:marker>
            <c:symbol val="none"/>
          </c:marker>
          <c:dLbls>
            <c:dLbl>
              <c:idx val="8"/>
              <c:tx>
                <c:strRef>
                  <c:f>Trajecto!$D$158</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{D104A3CA-5098-41CE-AC65-353483FE0E2B}</c15:txfldGUID>
                      <c15:f>Trajecto!$D$158</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2EC3-45DE-9EED-17088B7968F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Trajecto!$D$159:$D$174</c:f>
              <c:numCache>
                <c:formatCode>0</c:formatCode>
                <c:ptCount val="16"/>
                <c:pt idx="0">
                  <c:v>544.80346255917391</c:v>
                </c:pt>
                <c:pt idx="1">
                  <c:v>567.80346255917391</c:v>
                </c:pt>
                <c:pt idx="2">
                  <c:v>567.80346255917391</c:v>
                </c:pt>
                <c:pt idx="3">
                  <c:v>544.80346255917391</c:v>
                </c:pt>
                <c:pt idx="4">
                  <c:v>567.80346255917391</c:v>
                </c:pt>
                <c:pt idx="5">
                  <c:v>567.80346255917391</c:v>
                </c:pt>
                <c:pt idx="6">
                  <c:v>552.80346255917391</c:v>
                </c:pt>
                <c:pt idx="7">
                  <c:v>552.80346255917391</c:v>
                </c:pt>
                <c:pt idx="8">
                  <c:v>567.80346255917391</c:v>
                </c:pt>
                <c:pt idx="9">
                  <c:v>552.80346255917391</c:v>
                </c:pt>
                <c:pt idx="10">
                  <c:v>552.40346255917393</c:v>
                </c:pt>
                <c:pt idx="11">
                  <c:v>551.60346255917386</c:v>
                </c:pt>
                <c:pt idx="12">
                  <c:v>550.80346255917391</c:v>
                </c:pt>
                <c:pt idx="13">
                  <c:v>549.80346255917391</c:v>
                </c:pt>
                <c:pt idx="14">
                  <c:v>548.60346255917386</c:v>
                </c:pt>
                <c:pt idx="15">
                  <c:v>544.80346255917391</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2EC3-45DE-9EED-17088B7968F0}"/>
            </c:ext>
          </c:extLst>
        </c:ser>
        <c:ser>
          <c:idx val="9"/>
          <c:order val="8"/>
          <c:tx>
            <c:strRef>
              <c:f>Trajecto!$F$158</c:f>
              <c:strCache>
                <c:ptCount val="1"/>
                <c:pt idx="0">
                  <c:v>Arc de triomphe</c:v>
                </c:pt>
              </c:strCache>
            </c:strRef>
          </c:tx>
          <c:spPr>
            <a:ln>
              <a:solidFill>
                <a:srgbClr val="C0C0C0"/>
              </a:solidFill>
            </a:ln>
          </c:spPr>
          <c:marker>
            <c:symbol val="none"/>
          </c:marker>
          <c:xVal>
            <c:numRef>
              <c:f>Trajecto!$F$159:$F$174</c:f>
              <c:numCache>
                <c:formatCode>0</c:formatCode>
                <c:ptCount val="16"/>
                <c:pt idx="0">
                  <c:v>544.80346255917391</c:v>
                </c:pt>
                <c:pt idx="1">
                  <c:v>521.80346255917391</c:v>
                </c:pt>
                <c:pt idx="2">
                  <c:v>521.80346255917391</c:v>
                </c:pt>
                <c:pt idx="3">
                  <c:v>544.80346255917391</c:v>
                </c:pt>
                <c:pt idx="4">
                  <c:v>521.80346255917391</c:v>
                </c:pt>
                <c:pt idx="5">
                  <c:v>521.80346255917391</c:v>
                </c:pt>
                <c:pt idx="6">
                  <c:v>536.80346255917391</c:v>
                </c:pt>
                <c:pt idx="7">
                  <c:v>536.80346255917391</c:v>
                </c:pt>
                <c:pt idx="8">
                  <c:v>521.80346255917391</c:v>
                </c:pt>
                <c:pt idx="9">
                  <c:v>536.80346255917391</c:v>
                </c:pt>
                <c:pt idx="10">
                  <c:v>537.20346255917389</c:v>
                </c:pt>
                <c:pt idx="11">
                  <c:v>538.00346255917395</c:v>
                </c:pt>
                <c:pt idx="12">
                  <c:v>538.80346255917391</c:v>
                </c:pt>
                <c:pt idx="13">
                  <c:v>539.80346255917391</c:v>
                </c:pt>
                <c:pt idx="14">
                  <c:v>541.00346255917395</c:v>
                </c:pt>
                <c:pt idx="15">
                  <c:v>544.80346255917391</c:v>
                </c:pt>
              </c:numCache>
            </c:numRef>
          </c:xVal>
          <c:yVal>
            <c:numRef>
              <c:f>Trajecto!$B$161:$B$176</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2EC3-45DE-9EED-17088B7968F0}"/>
            </c:ext>
          </c:extLst>
        </c:ser>
        <c:ser>
          <c:idx val="10"/>
          <c:order val="9"/>
          <c:tx>
            <c:strRef>
              <c:f>Trajecto!$D$176</c:f>
              <c:strCache>
                <c:ptCount val="1"/>
                <c:pt idx="0">
                  <c:v>Tour Eiffel</c:v>
                </c:pt>
              </c:strCache>
            </c:strRef>
          </c:tx>
          <c:spPr>
            <a:ln>
              <a:solidFill>
                <a:srgbClr val="C0C0C0"/>
              </a:solidFill>
            </a:ln>
          </c:spPr>
          <c:marker>
            <c:symbol val="none"/>
          </c:marker>
          <c:dLbls>
            <c:dLbl>
              <c:idx val="6"/>
              <c:tx>
                <c:strRef>
                  <c:f>Trajecto!$D$176</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{8772AF7B-7616-4462-A174-4C0CF25A5394}</c15:txfldGUID>
                      <c15:f>Trajecto!$D$176</c15:f>
                      <c15:dlblFieldTableCache>
                        <c:ptCount val="1"/>
                        <c:pt idx="0">
                          <c:v>Tour Eiffel</c:v>
                        </c:pt>
                      </c15:dlblFieldTableCache>
                    </c15:dlblFTEntry>
                  </c15:dlblFieldTable>
                  <c15:showDataLabelsRange val="0"/>
                </c:ext>
                <c:ext xmlns:c16="http://schemas.microsoft.com/office/drawing/2014/chart" uri="{C3380CC4-5D6E-409C-BE32-E72D297353CC}">
                  <c16:uniqueId val="{0000000B-2EC3-45DE-9EED-17088B7968F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Trajecto!$D$177:$D$193</c:f>
              <c:numCache>
                <c:formatCode>0</c:formatCode>
                <c:ptCount val="17"/>
                <c:pt idx="0">
                  <c:v>544.80346255917391</c:v>
                </c:pt>
                <c:pt idx="1">
                  <c:v>544.80346255917391</c:v>
                </c:pt>
                <c:pt idx="2">
                  <c:v>554.80346255917391</c:v>
                </c:pt>
                <c:pt idx="3">
                  <c:v>544.80346255917391</c:v>
                </c:pt>
                <c:pt idx="4">
                  <c:v>554.80346255917391</c:v>
                </c:pt>
                <c:pt idx="5">
                  <c:v>557.80346255917391</c:v>
                </c:pt>
                <c:pt idx="6">
                  <c:v>561.80346255917391</c:v>
                </c:pt>
                <c:pt idx="7">
                  <c:v>564.80346255917391</c:v>
                </c:pt>
                <c:pt idx="8">
                  <c:v>569.80346255917391</c:v>
                </c:pt>
                <c:pt idx="9">
                  <c:v>574.80346255917391</c:v>
                </c:pt>
                <c:pt idx="10">
                  <c:v>580.80346255917391</c:v>
                </c:pt>
                <c:pt idx="11">
                  <c:v>592.80346255917391</c:v>
                </c:pt>
                <c:pt idx="12">
                  <c:v>606.80346255917391</c:v>
                </c:pt>
                <c:pt idx="13">
                  <c:v>581.80346255917391</c:v>
                </c:pt>
                <c:pt idx="14">
                  <c:v>574.80346255917391</c:v>
                </c:pt>
                <c:pt idx="15">
                  <c:v>559.80346255917391</c:v>
                </c:pt>
                <c:pt idx="16">
                  <c:v>544.80346255917391</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2EC3-45DE-9EED-17088B7968F0}"/>
            </c:ext>
          </c:extLst>
        </c:ser>
        <c:ser>
          <c:idx val="11"/>
          <c:order val="10"/>
          <c:tx>
            <c:strRef>
              <c:f>Trajecto!$F$176</c:f>
              <c:strCache>
                <c:ptCount val="1"/>
                <c:pt idx="0">
                  <c:v>Tour Eiffel</c:v>
                </c:pt>
              </c:strCache>
            </c:strRef>
          </c:tx>
          <c:spPr>
            <a:ln>
              <a:solidFill>
                <a:srgbClr val="C0C0C0"/>
              </a:solidFill>
            </a:ln>
          </c:spPr>
          <c:marker>
            <c:symbol val="none"/>
          </c:marker>
          <c:xVal>
            <c:numRef>
              <c:f>Trajecto!$F$177:$F$193</c:f>
              <c:numCache>
                <c:formatCode>0</c:formatCode>
                <c:ptCount val="17"/>
                <c:pt idx="0">
                  <c:v>544.80346255917391</c:v>
                </c:pt>
                <c:pt idx="1">
                  <c:v>544.80346255917391</c:v>
                </c:pt>
                <c:pt idx="2">
                  <c:v>534.80346255917391</c:v>
                </c:pt>
                <c:pt idx="3">
                  <c:v>544.80346255917391</c:v>
                </c:pt>
                <c:pt idx="4">
                  <c:v>534.80346255917391</c:v>
                </c:pt>
                <c:pt idx="5">
                  <c:v>531.80346255917391</c:v>
                </c:pt>
                <c:pt idx="6">
                  <c:v>527.80346255917391</c:v>
                </c:pt>
                <c:pt idx="7">
                  <c:v>524.80346255917391</c:v>
                </c:pt>
                <c:pt idx="8">
                  <c:v>519.80346255917391</c:v>
                </c:pt>
                <c:pt idx="9">
                  <c:v>514.80346255917391</c:v>
                </c:pt>
                <c:pt idx="10">
                  <c:v>508.80346255917391</c:v>
                </c:pt>
                <c:pt idx="11">
                  <c:v>496.80346255917391</c:v>
                </c:pt>
                <c:pt idx="12">
                  <c:v>482.80346255917391</c:v>
                </c:pt>
                <c:pt idx="13">
                  <c:v>507.80346255917391</c:v>
                </c:pt>
                <c:pt idx="14">
                  <c:v>514.80346255917391</c:v>
                </c:pt>
                <c:pt idx="15">
                  <c:v>529.80346255917391</c:v>
                </c:pt>
                <c:pt idx="16">
                  <c:v>544.80346255917391</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2EC3-45DE-9EED-17088B7968F0}"/>
            </c:ext>
          </c:extLst>
        </c:ser>
        <c:ser>
          <c:idx val="12"/>
          <c:order val="11"/>
          <c:tx>
            <c:strRef>
              <c:f>Trajecto!$D$176</c:f>
              <c:strCache>
                <c:ptCount val="1"/>
                <c:pt idx="0">
                  <c:v>Tour Eiffel</c:v>
                </c:pt>
              </c:strCache>
            </c:strRef>
          </c:tx>
          <c:spPr>
            <a:ln>
              <a:solidFill>
                <a:srgbClr val="C0C0C0"/>
              </a:solidFill>
            </a:ln>
          </c:spPr>
          <c:marker>
            <c:symbol val="none"/>
          </c:marker>
          <c:xVal>
            <c:numRef>
              <c:f>Trajecto!$D$194:$D$197</c:f>
              <c:numCache>
                <c:formatCode>0</c:formatCode>
                <c:ptCount val="4"/>
                <c:pt idx="0">
                  <c:v>544.80346255917391</c:v>
                </c:pt>
                <c:pt idx="1">
                  <c:v>561.80346255917391</c:v>
                </c:pt>
                <c:pt idx="2">
                  <c:v>555.80346255917391</c:v>
                </c:pt>
                <c:pt idx="3">
                  <c:v>544.80346255917391</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2EC3-45DE-9EED-17088B7968F0}"/>
            </c:ext>
          </c:extLst>
        </c:ser>
        <c:ser>
          <c:idx val="13"/>
          <c:order val="12"/>
          <c:tx>
            <c:strRef>
              <c:f>Trajecto!$F$176</c:f>
              <c:strCache>
                <c:ptCount val="1"/>
                <c:pt idx="0">
                  <c:v>Tour Eiffel</c:v>
                </c:pt>
              </c:strCache>
            </c:strRef>
          </c:tx>
          <c:spPr>
            <a:ln>
              <a:solidFill>
                <a:srgbClr val="C0C0C0"/>
              </a:solidFill>
            </a:ln>
          </c:spPr>
          <c:marker>
            <c:symbol val="none"/>
          </c:marker>
          <c:xVal>
            <c:numRef>
              <c:f>Trajecto!$F$194:$F$197</c:f>
              <c:numCache>
                <c:formatCode>0</c:formatCode>
                <c:ptCount val="4"/>
                <c:pt idx="0">
                  <c:v>544.80346255917391</c:v>
                </c:pt>
                <c:pt idx="1">
                  <c:v>527.80346255917391</c:v>
                </c:pt>
                <c:pt idx="2">
                  <c:v>533.80346255917391</c:v>
                </c:pt>
                <c:pt idx="3">
                  <c:v>544.80346255917391</c:v>
                </c:pt>
              </c:numCache>
            </c:numRef>
          </c:xVal>
          <c:yVal>
            <c:numRef>
              <c:f>Trajecto!$B$196:$B$199</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2EC3-45DE-9EED-17088B7968F0}"/>
            </c:ext>
          </c:extLst>
        </c:ser>
        <c:ser>
          <c:idx val="3"/>
          <c:order val="13"/>
          <c:tx>
            <c:strRef>
              <c:f>Trajecto!$B$108</c:f>
              <c:strCache>
                <c:ptCount val="1"/>
                <c:pt idx="0">
                  <c:v>Fusée sous parachute</c:v>
                </c:pt>
              </c:strCache>
            </c:strRef>
          </c:tx>
          <c:spPr>
            <a:ln>
              <a:solidFill>
                <a:srgbClr val="008000"/>
              </a:solidFill>
            </a:ln>
          </c:spPr>
          <c:marker>
            <c:symbol val="none"/>
          </c:marker>
          <c:dLbls>
            <c:dLbl>
              <c:idx val="1"/>
              <c:tx>
                <c:strRef>
                  <c:f>Trajecto!$B$108</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{4F40B1A9-25F2-4EB8-9466-98F29C4D1DA4}</c15:txfldGUID>
                      <c15:f>Trajecto!$B$108</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2EC3-45DE-9EED-17088B7968F0}"/>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Trajecto!$B$123:$B$129</c:f>
              <c:numCache>
                <c:formatCode>0</c:formatCode>
                <c:ptCount val="7"/>
                <c:pt idx="0">
                  <c:v>509.05322987280238</c:v>
                </c:pt>
                <c:pt idx="1">
                  <c:v>509.05322987280238</c:v>
                </c:pt>
                <c:pt idx="2">
                  <c:v>509.05322987280238</c:v>
                </c:pt>
                <c:pt idx="3">
                  <c:v>544.24071934015535</c:v>
                </c:pt>
                <c:pt idx="4">
                  <c:v>509.05322987280238</c:v>
                </c:pt>
                <c:pt idx="5">
                  <c:v>473.8657404054494</c:v>
                </c:pt>
                <c:pt idx="6">
                  <c:v>509.05322987280238</c:v>
                </c:pt>
              </c:numCache>
            </c:numRef>
          </c:xVal>
          <c:yVal>
            <c:numRef>
              <c:f>Trajecto!$C$121:$C$127</c:f>
              <c:numCache>
                <c:formatCode>0</c:formatCode>
                <c:ptCount val="7"/>
                <c:pt idx="0">
                  <c:v>1407.4995786941179</c:v>
                </c:pt>
                <c:pt idx="1">
                  <c:v>703.74978934705894</c:v>
                </c:pt>
                <c:pt idx="2">
                  <c:v>0</c:v>
                </c:pt>
                <c:pt idx="3">
                  <c:v>70.374978934705894</c:v>
                </c:pt>
                <c:pt idx="4">
                  <c:v>0</c:v>
                </c:pt>
                <c:pt idx="5">
                  <c:v>70.374978934705894</c:v>
                </c:pt>
                <c:pt idx="6" formatCode="General">
                  <c:v>0</c:v>
                </c:pt>
              </c:numCache>
            </c:numRef>
          </c:yVal>
          <c:smooth val="0"/>
          <c:extLst>
            <c:ext xmlns:c16="http://schemas.microsoft.com/office/drawing/2014/chart" uri="{C3380CC4-5D6E-409C-BE32-E72D297353CC}">
              <c16:uniqueId val="{00000011-2EC3-45DE-9EED-17088B7968F0}"/>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Trajecto!$B$111</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Trajecto!$B$113</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Trajecto!$B$120</c:f>
              <c:numCache>
                <c:formatCode>0</c:formatCode>
                <c:ptCount val="1"/>
                <c:pt idx="0">
                  <c:v>1415.3356551860206</c:v>
                </c:pt>
              </c:numCache>
            </c:numRef>
          </c:yVal>
          <c:smooth val="0"/>
          <c:extLst>
            <c:ext xmlns:c16="http://schemas.microsoft.com/office/drawing/2014/chart" uri="{C3380CC4-5D6E-409C-BE32-E72D297353CC}">
              <c16:uniqueId val="{00000000-93D4-48A2-9F65-FF2CAA52DF8C}"/>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0</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1.0000000000000007</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2.0000000000000013</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2.99999999999998</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3.9999999999999587</c:v>
                </c:pt>
                <c:pt idx="401">
                  <c:v>#N/A</c:v>
                </c:pt>
                <c:pt idx="402">
                  <c:v>#N/A</c:v>
                </c:pt>
                <c:pt idx="403">
                  <c:v>#N/A</c:v>
                </c:pt>
                <c:pt idx="404">
                  <c:v>#N/A</c:v>
                </c:pt>
                <c:pt idx="405">
                  <c:v>#N/A</c:v>
                </c:pt>
                <c:pt idx="406">
                  <c:v>#N/A</c:v>
                </c:pt>
                <c:pt idx="407">
                  <c:v>#N/A</c:v>
                </c:pt>
                <c:pt idx="408">
                  <c:v>#N/A</c:v>
                </c:pt>
                <c:pt idx="409">
                  <c:v>#N/A</c:v>
                </c:pt>
                <c:pt idx="410">
                  <c:v>4.9999999999999556</c:v>
                </c:pt>
                <c:pt idx="411">
                  <c:v>#N/A</c:v>
                </c:pt>
                <c:pt idx="412">
                  <c:v>#N/A</c:v>
                </c:pt>
                <c:pt idx="413">
                  <c:v>#N/A</c:v>
                </c:pt>
                <c:pt idx="414">
                  <c:v>#N/A</c:v>
                </c:pt>
                <c:pt idx="415">
                  <c:v>#N/A</c:v>
                </c:pt>
                <c:pt idx="416">
                  <c:v>#N/A</c:v>
                </c:pt>
                <c:pt idx="417">
                  <c:v>#N/A</c:v>
                </c:pt>
                <c:pt idx="418">
                  <c:v>#N/A</c:v>
                </c:pt>
                <c:pt idx="419">
                  <c:v>#N/A</c:v>
                </c:pt>
                <c:pt idx="420">
                  <c:v>5.999999999999952</c:v>
                </c:pt>
                <c:pt idx="421">
                  <c:v>#N/A</c:v>
                </c:pt>
                <c:pt idx="422">
                  <c:v>#N/A</c:v>
                </c:pt>
                <c:pt idx="423">
                  <c:v>#N/A</c:v>
                </c:pt>
                <c:pt idx="424">
                  <c:v>#N/A</c:v>
                </c:pt>
                <c:pt idx="425">
                  <c:v>#N/A</c:v>
                </c:pt>
                <c:pt idx="426">
                  <c:v>#N/A</c:v>
                </c:pt>
                <c:pt idx="427">
                  <c:v>#N/A</c:v>
                </c:pt>
                <c:pt idx="428">
                  <c:v>#N/A</c:v>
                </c:pt>
                <c:pt idx="429">
                  <c:v>#N/A</c:v>
                </c:pt>
                <c:pt idx="430">
                  <c:v>6.9999999999999485</c:v>
                </c:pt>
                <c:pt idx="431">
                  <c:v>#N/A</c:v>
                </c:pt>
                <c:pt idx="432">
                  <c:v>#N/A</c:v>
                </c:pt>
                <c:pt idx="433">
                  <c:v>#N/A</c:v>
                </c:pt>
                <c:pt idx="434">
                  <c:v>#N/A</c:v>
                </c:pt>
                <c:pt idx="435">
                  <c:v>#N/A</c:v>
                </c:pt>
                <c:pt idx="436">
                  <c:v>#N/A</c:v>
                </c:pt>
                <c:pt idx="437">
                  <c:v>#N/A</c:v>
                </c:pt>
                <c:pt idx="438">
                  <c:v>#N/A</c:v>
                </c:pt>
                <c:pt idx="439">
                  <c:v>#N/A</c:v>
                </c:pt>
                <c:pt idx="440">
                  <c:v>7.9999999999999449</c:v>
                </c:pt>
                <c:pt idx="441">
                  <c:v>#N/A</c:v>
                </c:pt>
                <c:pt idx="442">
                  <c:v>#N/A</c:v>
                </c:pt>
                <c:pt idx="443">
                  <c:v>#N/A</c:v>
                </c:pt>
                <c:pt idx="444">
                  <c:v>#N/A</c:v>
                </c:pt>
                <c:pt idx="445">
                  <c:v>#N/A</c:v>
                </c:pt>
                <c:pt idx="446">
                  <c:v>#N/A</c:v>
                </c:pt>
                <c:pt idx="447">
                  <c:v>#N/A</c:v>
                </c:pt>
                <c:pt idx="448">
                  <c:v>#N/A</c:v>
                </c:pt>
                <c:pt idx="449">
                  <c:v>#N/A</c:v>
                </c:pt>
                <c:pt idx="450">
                  <c:v>8.9999999999999414</c:v>
                </c:pt>
                <c:pt idx="451">
                  <c:v>#N/A</c:v>
                </c:pt>
                <c:pt idx="452">
                  <c:v>#N/A</c:v>
                </c:pt>
                <c:pt idx="453">
                  <c:v>#N/A</c:v>
                </c:pt>
                <c:pt idx="454">
                  <c:v>#N/A</c:v>
                </c:pt>
                <c:pt idx="455">
                  <c:v>#N/A</c:v>
                </c:pt>
                <c:pt idx="456">
                  <c:v>#N/A</c:v>
                </c:pt>
                <c:pt idx="457">
                  <c:v>#N/A</c:v>
                </c:pt>
                <c:pt idx="458">
                  <c:v>#N/A</c:v>
                </c:pt>
                <c:pt idx="459">
                  <c:v>#N/A</c:v>
                </c:pt>
                <c:pt idx="460">
                  <c:v>9.9999999999999378</c:v>
                </c:pt>
                <c:pt idx="461">
                  <c:v>#N/A</c:v>
                </c:pt>
                <c:pt idx="462">
                  <c:v>#N/A</c:v>
                </c:pt>
                <c:pt idx="463">
                  <c:v>#N/A</c:v>
                </c:pt>
                <c:pt idx="464">
                  <c:v>#N/A</c:v>
                </c:pt>
                <c:pt idx="465">
                  <c:v>#N/A</c:v>
                </c:pt>
                <c:pt idx="466">
                  <c:v>#N/A</c:v>
                </c:pt>
                <c:pt idx="467">
                  <c:v>#N/A</c:v>
                </c:pt>
                <c:pt idx="468">
                  <c:v>#N/A</c:v>
                </c:pt>
                <c:pt idx="469">
                  <c:v>#N/A</c:v>
                </c:pt>
                <c:pt idx="470">
                  <c:v>10.999999999999934</c:v>
                </c:pt>
                <c:pt idx="471">
                  <c:v>#N/A</c:v>
                </c:pt>
                <c:pt idx="472">
                  <c:v>#N/A</c:v>
                </c:pt>
                <c:pt idx="473">
                  <c:v>#N/A</c:v>
                </c:pt>
                <c:pt idx="474">
                  <c:v>#N/A</c:v>
                </c:pt>
                <c:pt idx="475">
                  <c:v>#N/A</c:v>
                </c:pt>
                <c:pt idx="476">
                  <c:v>#N/A</c:v>
                </c:pt>
                <c:pt idx="477">
                  <c:v>#N/A</c:v>
                </c:pt>
                <c:pt idx="478">
                  <c:v>#N/A</c:v>
                </c:pt>
                <c:pt idx="479">
                  <c:v>#N/A</c:v>
                </c:pt>
                <c:pt idx="480">
                  <c:v>11.999999999999931</c:v>
                </c:pt>
                <c:pt idx="481">
                  <c:v>#N/A</c:v>
                </c:pt>
                <c:pt idx="482">
                  <c:v>#N/A</c:v>
                </c:pt>
                <c:pt idx="483">
                  <c:v>#N/A</c:v>
                </c:pt>
                <c:pt idx="484">
                  <c:v>#N/A</c:v>
                </c:pt>
                <c:pt idx="485">
                  <c:v>#N/A</c:v>
                </c:pt>
                <c:pt idx="486">
                  <c:v>#N/A</c:v>
                </c:pt>
                <c:pt idx="487">
                  <c:v>#N/A</c:v>
                </c:pt>
                <c:pt idx="488">
                  <c:v>#N/A</c:v>
                </c:pt>
                <c:pt idx="489">
                  <c:v>#N/A</c:v>
                </c:pt>
                <c:pt idx="490">
                  <c:v>12.999999999999927</c:v>
                </c:pt>
                <c:pt idx="491">
                  <c:v>#N/A</c:v>
                </c:pt>
                <c:pt idx="492">
                  <c:v>#N/A</c:v>
                </c:pt>
                <c:pt idx="493">
                  <c:v>#N/A</c:v>
                </c:pt>
                <c:pt idx="494">
                  <c:v>#N/A</c:v>
                </c:pt>
                <c:pt idx="495">
                  <c:v>#N/A</c:v>
                </c:pt>
                <c:pt idx="496">
                  <c:v>#N/A</c:v>
                </c:pt>
                <c:pt idx="497">
                  <c:v>#N/A</c:v>
                </c:pt>
                <c:pt idx="498">
                  <c:v>#N/A</c:v>
                </c:pt>
                <c:pt idx="499">
                  <c:v>#N/A</c:v>
                </c:pt>
                <c:pt idx="500">
                  <c:v>13.999999999999924</c:v>
                </c:pt>
                <c:pt idx="501">
                  <c:v>#N/A</c:v>
                </c:pt>
                <c:pt idx="502">
                  <c:v>#N/A</c:v>
                </c:pt>
                <c:pt idx="503">
                  <c:v>#N/A</c:v>
                </c:pt>
                <c:pt idx="504">
                  <c:v>#N/A</c:v>
                </c:pt>
                <c:pt idx="505">
                  <c:v>#N/A</c:v>
                </c:pt>
                <c:pt idx="506">
                  <c:v>#N/A</c:v>
                </c:pt>
                <c:pt idx="507">
                  <c:v>#N/A</c:v>
                </c:pt>
                <c:pt idx="508">
                  <c:v>#N/A</c:v>
                </c:pt>
                <c:pt idx="509">
                  <c:v>#N/A</c:v>
                </c:pt>
                <c:pt idx="510">
                  <c:v>14.99999999999992</c:v>
                </c:pt>
                <c:pt idx="511">
                  <c:v>#N/A</c:v>
                </c:pt>
                <c:pt idx="512">
                  <c:v>#N/A</c:v>
                </c:pt>
                <c:pt idx="513">
                  <c:v>#N/A</c:v>
                </c:pt>
                <c:pt idx="514">
                  <c:v>#N/A</c:v>
                </c:pt>
                <c:pt idx="515">
                  <c:v>#N/A</c:v>
                </c:pt>
                <c:pt idx="516">
                  <c:v>#N/A</c:v>
                </c:pt>
                <c:pt idx="517">
                  <c:v>#N/A</c:v>
                </c:pt>
                <c:pt idx="518">
                  <c:v>#N/A</c:v>
                </c:pt>
                <c:pt idx="519">
                  <c:v>#N/A</c:v>
                </c:pt>
                <c:pt idx="520">
                  <c:v>15.999999999999917</c:v>
                </c:pt>
                <c:pt idx="521">
                  <c:v>#N/A</c:v>
                </c:pt>
                <c:pt idx="522">
                  <c:v>#N/A</c:v>
                </c:pt>
                <c:pt idx="523">
                  <c:v>#N/A</c:v>
                </c:pt>
                <c:pt idx="524">
                  <c:v>#N/A</c:v>
                </c:pt>
                <c:pt idx="525">
                  <c:v>#N/A</c:v>
                </c:pt>
                <c:pt idx="526">
                  <c:v>#N/A</c:v>
                </c:pt>
                <c:pt idx="527">
                  <c:v>#N/A</c:v>
                </c:pt>
                <c:pt idx="528">
                  <c:v>#N/A</c:v>
                </c:pt>
                <c:pt idx="529">
                  <c:v>#N/A</c:v>
                </c:pt>
                <c:pt idx="530">
                  <c:v>16.999999999999929</c:v>
                </c:pt>
                <c:pt idx="531">
                  <c:v>#N/A</c:v>
                </c:pt>
                <c:pt idx="532">
                  <c:v>#N/A</c:v>
                </c:pt>
                <c:pt idx="533">
                  <c:v>#N/A</c:v>
                </c:pt>
                <c:pt idx="534">
                  <c:v>#N/A</c:v>
                </c:pt>
                <c:pt idx="535">
                  <c:v>#N/A</c:v>
                </c:pt>
                <c:pt idx="536">
                  <c:v>#N/A</c:v>
                </c:pt>
                <c:pt idx="537">
                  <c:v>#N/A</c:v>
                </c:pt>
                <c:pt idx="538">
                  <c:v>#N/A</c:v>
                </c:pt>
                <c:pt idx="539">
                  <c:v>#N/A</c:v>
                </c:pt>
                <c:pt idx="540">
                  <c:v>17.999999999999943</c:v>
                </c:pt>
                <c:pt idx="541">
                  <c:v>#N/A</c:v>
                </c:pt>
                <c:pt idx="542">
                  <c:v>#N/A</c:v>
                </c:pt>
                <c:pt idx="543">
                  <c:v>#N/A</c:v>
                </c:pt>
                <c:pt idx="544">
                  <c:v>#N/A</c:v>
                </c:pt>
                <c:pt idx="545">
                  <c:v>#N/A</c:v>
                </c:pt>
                <c:pt idx="546">
                  <c:v>#N/A</c:v>
                </c:pt>
                <c:pt idx="547">
                  <c:v>#N/A</c:v>
                </c:pt>
                <c:pt idx="548">
                  <c:v>#N/A</c:v>
                </c:pt>
                <c:pt idx="549">
                  <c:v>#N/A</c:v>
                </c:pt>
                <c:pt idx="550">
                  <c:v>18.999999999999957</c:v>
                </c:pt>
                <c:pt idx="551">
                  <c:v>#N/A</c:v>
                </c:pt>
                <c:pt idx="552">
                  <c:v>#N/A</c:v>
                </c:pt>
                <c:pt idx="553">
                  <c:v>#N/A</c:v>
                </c:pt>
                <c:pt idx="554">
                  <c:v>#N/A</c:v>
                </c:pt>
                <c:pt idx="555">
                  <c:v>#N/A</c:v>
                </c:pt>
                <c:pt idx="556">
                  <c:v>#N/A</c:v>
                </c:pt>
                <c:pt idx="557">
                  <c:v>#N/A</c:v>
                </c:pt>
                <c:pt idx="558">
                  <c:v>#N/A</c:v>
                </c:pt>
                <c:pt idx="559">
                  <c:v>#N/A</c:v>
                </c:pt>
                <c:pt idx="560">
                  <c:v>19.999999999999972</c:v>
                </c:pt>
                <c:pt idx="561">
                  <c:v>#N/A</c:v>
                </c:pt>
                <c:pt idx="562">
                  <c:v>#N/A</c:v>
                </c:pt>
                <c:pt idx="563">
                  <c:v>#N/A</c:v>
                </c:pt>
                <c:pt idx="564">
                  <c:v>#N/A</c:v>
                </c:pt>
                <c:pt idx="565">
                  <c:v>#N/A</c:v>
                </c:pt>
                <c:pt idx="566">
                  <c:v>#N/A</c:v>
                </c:pt>
                <c:pt idx="567">
                  <c:v>#N/A</c:v>
                </c:pt>
                <c:pt idx="568">
                  <c:v>#N/A</c:v>
                </c:pt>
                <c:pt idx="569">
                  <c:v>#N/A</c:v>
                </c:pt>
                <c:pt idx="570">
                  <c:v>20.999999999999986</c:v>
                </c:pt>
                <c:pt idx="571">
                  <c:v>#N/A</c:v>
                </c:pt>
                <c:pt idx="572">
                  <c:v>#N/A</c:v>
                </c:pt>
                <c:pt idx="573">
                  <c:v>#N/A</c:v>
                </c:pt>
                <c:pt idx="574">
                  <c:v>#N/A</c:v>
                </c:pt>
                <c:pt idx="575">
                  <c:v>#N/A</c:v>
                </c:pt>
                <c:pt idx="576">
                  <c:v>#N/A</c:v>
                </c:pt>
                <c:pt idx="577">
                  <c:v>#N/A</c:v>
                </c:pt>
                <c:pt idx="578">
                  <c:v>#N/A</c:v>
                </c:pt>
                <c:pt idx="579">
                  <c:v>#N/A</c:v>
                </c:pt>
                <c:pt idx="580">
                  <c:v>22</c:v>
                </c:pt>
                <c:pt idx="581">
                  <c:v>#N/A</c:v>
                </c:pt>
                <c:pt idx="582">
                  <c:v>#N/A</c:v>
                </c:pt>
                <c:pt idx="583">
                  <c:v>#N/A</c:v>
                </c:pt>
                <c:pt idx="584">
                  <c:v>#N/A</c:v>
                </c:pt>
                <c:pt idx="585">
                  <c:v>#N/A</c:v>
                </c:pt>
                <c:pt idx="586">
                  <c:v>#N/A</c:v>
                </c:pt>
                <c:pt idx="587">
                  <c:v>#N/A</c:v>
                </c:pt>
                <c:pt idx="588">
                  <c:v>#N/A</c:v>
                </c:pt>
                <c:pt idx="589">
                  <c:v>#N/A</c:v>
                </c:pt>
                <c:pt idx="590">
                  <c:v>23.000000000000014</c:v>
                </c:pt>
                <c:pt idx="591">
                  <c:v>#N/A</c:v>
                </c:pt>
                <c:pt idx="592">
                  <c:v>#N/A</c:v>
                </c:pt>
                <c:pt idx="593">
                  <c:v>#N/A</c:v>
                </c:pt>
                <c:pt idx="594">
                  <c:v>#N/A</c:v>
                </c:pt>
                <c:pt idx="595">
                  <c:v>#N/A</c:v>
                </c:pt>
                <c:pt idx="596">
                  <c:v>#N/A</c:v>
                </c:pt>
                <c:pt idx="597">
                  <c:v>#N/A</c:v>
                </c:pt>
                <c:pt idx="598">
                  <c:v>#N/A</c:v>
                </c:pt>
                <c:pt idx="599">
                  <c:v>#N/A</c:v>
                </c:pt>
                <c:pt idx="600">
                  <c:v>24.000000000000028</c:v>
                </c:pt>
                <c:pt idx="601">
                  <c:v>#N/A</c:v>
                </c:pt>
                <c:pt idx="602">
                  <c:v>#N/A</c:v>
                </c:pt>
                <c:pt idx="603">
                  <c:v>#N/A</c:v>
                </c:pt>
                <c:pt idx="604">
                  <c:v>#N/A</c:v>
                </c:pt>
                <c:pt idx="605">
                  <c:v>#N/A</c:v>
                </c:pt>
                <c:pt idx="606">
                  <c:v>#N/A</c:v>
                </c:pt>
                <c:pt idx="607">
                  <c:v>#N/A</c:v>
                </c:pt>
                <c:pt idx="608">
                  <c:v>#N/A</c:v>
                </c:pt>
                <c:pt idx="609">
                  <c:v>#N/A</c:v>
                </c:pt>
                <c:pt idx="610">
                  <c:v>25.000000000000043</c:v>
                </c:pt>
                <c:pt idx="611">
                  <c:v>#N/A</c:v>
                </c:pt>
                <c:pt idx="612">
                  <c:v>#N/A</c:v>
                </c:pt>
                <c:pt idx="613">
                  <c:v>#N/A</c:v>
                </c:pt>
                <c:pt idx="614">
                  <c:v>#N/A</c:v>
                </c:pt>
                <c:pt idx="615">
                  <c:v>#N/A</c:v>
                </c:pt>
                <c:pt idx="616">
                  <c:v>#N/A</c:v>
                </c:pt>
                <c:pt idx="617">
                  <c:v>#N/A</c:v>
                </c:pt>
                <c:pt idx="618">
                  <c:v>#N/A</c:v>
                </c:pt>
                <c:pt idx="619">
                  <c:v>#N/A</c:v>
                </c:pt>
                <c:pt idx="620">
                  <c:v>26.000000000000057</c:v>
                </c:pt>
                <c:pt idx="621">
                  <c:v>#N/A</c:v>
                </c:pt>
                <c:pt idx="622">
                  <c:v>#N/A</c:v>
                </c:pt>
                <c:pt idx="623">
                  <c:v>#N/A</c:v>
                </c:pt>
                <c:pt idx="624">
                  <c:v>#N/A</c:v>
                </c:pt>
                <c:pt idx="625">
                  <c:v>#N/A</c:v>
                </c:pt>
                <c:pt idx="626">
                  <c:v>#N/A</c:v>
                </c:pt>
                <c:pt idx="627">
                  <c:v>#N/A</c:v>
                </c:pt>
                <c:pt idx="628">
                  <c:v>#N/A</c:v>
                </c:pt>
                <c:pt idx="629">
                  <c:v>#N/A</c:v>
                </c:pt>
                <c:pt idx="630">
                  <c:v>27.000000000000071</c:v>
                </c:pt>
                <c:pt idx="631">
                  <c:v>#N/A</c:v>
                </c:pt>
                <c:pt idx="632">
                  <c:v>#N/A</c:v>
                </c:pt>
                <c:pt idx="633">
                  <c:v>#N/A</c:v>
                </c:pt>
                <c:pt idx="634">
                  <c:v>#N/A</c:v>
                </c:pt>
                <c:pt idx="635">
                  <c:v>#N/A</c:v>
                </c:pt>
                <c:pt idx="636">
                  <c:v>#N/A</c:v>
                </c:pt>
                <c:pt idx="637">
                  <c:v>#N/A</c:v>
                </c:pt>
                <c:pt idx="638">
                  <c:v>#N/A</c:v>
                </c:pt>
                <c:pt idx="639">
                  <c:v>#N/A</c:v>
                </c:pt>
                <c:pt idx="640">
                  <c:v>28.000000000000085</c:v>
                </c:pt>
                <c:pt idx="641">
                  <c:v>#N/A</c:v>
                </c:pt>
                <c:pt idx="642">
                  <c:v>#N/A</c:v>
                </c:pt>
                <c:pt idx="643">
                  <c:v>#N/A</c:v>
                </c:pt>
                <c:pt idx="644">
                  <c:v>#N/A</c:v>
                </c:pt>
                <c:pt idx="645">
                  <c:v>#N/A</c:v>
                </c:pt>
                <c:pt idx="646">
                  <c:v>#N/A</c:v>
                </c:pt>
                <c:pt idx="647">
                  <c:v>#N/A</c:v>
                </c:pt>
                <c:pt idx="648">
                  <c:v>#N/A</c:v>
                </c:pt>
                <c:pt idx="649">
                  <c:v>#N/A</c:v>
                </c:pt>
                <c:pt idx="650">
                  <c:v>29.000000000000099</c:v>
                </c:pt>
                <c:pt idx="651">
                  <c:v>#N/A</c:v>
                </c:pt>
                <c:pt idx="652">
                  <c:v>#N/A</c:v>
                </c:pt>
                <c:pt idx="653">
                  <c:v>#N/A</c:v>
                </c:pt>
                <c:pt idx="654">
                  <c:v>#N/A</c:v>
                </c:pt>
                <c:pt idx="655">
                  <c:v>#N/A</c:v>
                </c:pt>
                <c:pt idx="656">
                  <c:v>#N/A</c:v>
                </c:pt>
                <c:pt idx="657">
                  <c:v>#N/A</c:v>
                </c:pt>
                <c:pt idx="658">
                  <c:v>#N/A</c:v>
                </c:pt>
                <c:pt idx="659">
                  <c:v>#N/A</c:v>
                </c:pt>
                <c:pt idx="660">
                  <c:v>30.000000000000114</c:v>
                </c:pt>
                <c:pt idx="661">
                  <c:v>#N/A</c:v>
                </c:pt>
                <c:pt idx="662">
                  <c:v>#N/A</c:v>
                </c:pt>
                <c:pt idx="663">
                  <c:v>#N/A</c:v>
                </c:pt>
                <c:pt idx="664">
                  <c:v>#N/A</c:v>
                </c:pt>
                <c:pt idx="665">
                  <c:v>#N/A</c:v>
                </c:pt>
                <c:pt idx="666">
                  <c:v>#N/A</c:v>
                </c:pt>
                <c:pt idx="667">
                  <c:v>#N/A</c:v>
                </c:pt>
                <c:pt idx="668">
                  <c:v>#N/A</c:v>
                </c:pt>
                <c:pt idx="669">
                  <c:v>#N/A</c:v>
                </c:pt>
                <c:pt idx="670">
                  <c:v>31.000000000000128</c:v>
                </c:pt>
                <c:pt idx="671">
                  <c:v>#N/A</c:v>
                </c:pt>
                <c:pt idx="672">
                  <c:v>#N/A</c:v>
                </c:pt>
                <c:pt idx="673">
                  <c:v>#N/A</c:v>
                </c:pt>
                <c:pt idx="674">
                  <c:v>#N/A</c:v>
                </c:pt>
                <c:pt idx="675">
                  <c:v>#N/A</c:v>
                </c:pt>
                <c:pt idx="676">
                  <c:v>#N/A</c:v>
                </c:pt>
                <c:pt idx="677">
                  <c:v>#N/A</c:v>
                </c:pt>
                <c:pt idx="678">
                  <c:v>#N/A</c:v>
                </c:pt>
                <c:pt idx="679">
                  <c:v>#N/A</c:v>
                </c:pt>
                <c:pt idx="680">
                  <c:v>32.000000000000142</c:v>
                </c:pt>
                <c:pt idx="681">
                  <c:v>#N/A</c:v>
                </c:pt>
                <c:pt idx="682">
                  <c:v>#N/A</c:v>
                </c:pt>
                <c:pt idx="683">
                  <c:v>#N/A</c:v>
                </c:pt>
                <c:pt idx="684">
                  <c:v>#N/A</c:v>
                </c:pt>
                <c:pt idx="685">
                  <c:v>#N/A</c:v>
                </c:pt>
                <c:pt idx="686">
                  <c:v>#N/A</c:v>
                </c:pt>
                <c:pt idx="687">
                  <c:v>#N/A</c:v>
                </c:pt>
                <c:pt idx="688">
                  <c:v>#N/A</c:v>
                </c:pt>
                <c:pt idx="689">
                  <c:v>#N/A</c:v>
                </c:pt>
                <c:pt idx="690">
                  <c:v>33.000000000000156</c:v>
                </c:pt>
                <c:pt idx="691">
                  <c:v>#N/A</c:v>
                </c:pt>
                <c:pt idx="692">
                  <c:v>#N/A</c:v>
                </c:pt>
                <c:pt idx="693">
                  <c:v>#N/A</c:v>
                </c:pt>
                <c:pt idx="694">
                  <c:v>#N/A</c:v>
                </c:pt>
                <c:pt idx="695">
                  <c:v>#N/A</c:v>
                </c:pt>
                <c:pt idx="696">
                  <c:v>#N/A</c:v>
                </c:pt>
                <c:pt idx="697">
                  <c:v>#N/A</c:v>
                </c:pt>
                <c:pt idx="698">
                  <c:v>#N/A</c:v>
                </c:pt>
                <c:pt idx="699">
                  <c:v>#N/A</c:v>
                </c:pt>
                <c:pt idx="700">
                  <c:v>34.000000000000171</c:v>
                </c:pt>
                <c:pt idx="701">
                  <c:v>#N/A</c:v>
                </c:pt>
                <c:pt idx="702">
                  <c:v>#N/A</c:v>
                </c:pt>
                <c:pt idx="703">
                  <c:v>#N/A</c:v>
                </c:pt>
                <c:pt idx="704">
                  <c:v>#N/A</c:v>
                </c:pt>
                <c:pt idx="705">
                  <c:v>#N/A</c:v>
                </c:pt>
                <c:pt idx="706">
                  <c:v>#N/A</c:v>
                </c:pt>
                <c:pt idx="707">
                  <c:v>#N/A</c:v>
                </c:pt>
                <c:pt idx="708">
                  <c:v>#N/A</c:v>
                </c:pt>
                <c:pt idx="709">
                  <c:v>#N/A</c:v>
                </c:pt>
                <c:pt idx="710">
                  <c:v>35.000000000000185</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0</c:v>
                </c:pt>
                <c:pt idx="1">
                  <c:v>0</c:v>
                </c:pt>
                <c:pt idx="2">
                  <c:v>8.8659929951468331E-4</c:v>
                </c:pt>
                <c:pt idx="3">
                  <c:v>4.4551282218210728E-3</c:v>
                </c:pt>
                <c:pt idx="4">
                  <c:v>1.252376084757101E-2</c:v>
                </c:pt>
                <c:pt idx="5">
                  <c:v>2.6912343102871397E-2</c:v>
                </c:pt>
                <c:pt idx="6">
                  <c:v>4.8982521190609973E-2</c:v>
                </c:pt>
                <c:pt idx="7">
                  <c:v>7.9176829171388755E-2</c:v>
                </c:pt>
                <c:pt idx="8">
                  <c:v>0.11747781638166428</c:v>
                </c:pt>
                <c:pt idx="9">
                  <c:v>0.16386796803219167</c:v>
                </c:pt>
                <c:pt idx="10">
                  <c:v>0.21832970542708824</c:v>
                </c:pt>
                <c:pt idx="11">
                  <c:v>0.28084538618456867</c:v>
                </c:pt>
                <c:pt idx="12">
                  <c:v>0.35139730445933887</c:v>
                </c:pt>
                <c:pt idx="13">
                  <c:v>0.42996769116663514</c:v>
                </c:pt>
                <c:pt idx="14">
                  <c:v>0.51653871420789566</c:v>
                </c:pt>
                <c:pt idx="15">
                  <c:v>0.6110924786980505</c:v>
                </c:pt>
                <c:pt idx="16">
                  <c:v>0.71361102719441705</c:v>
                </c:pt>
                <c:pt idx="17">
                  <c:v>0.82407633992718732</c:v>
                </c:pt>
                <c:pt idx="18">
                  <c:v>0.94247033503149291</c:v>
                </c:pt>
                <c:pt idx="19">
                  <c:v>1.0687748687810346</c:v>
                </c:pt>
                <c:pt idx="20">
                  <c:v>1.2029717358232617</c:v>
                </c:pt>
                <c:pt idx="21">
                  <c:v>1.3450426694160895</c:v>
                </c:pt>
                <c:pt idx="22">
                  <c:v>1.4949693416661369</c:v>
                </c:pt>
                <c:pt idx="23">
                  <c:v>1.6527333637684745</c:v>
                </c:pt>
                <c:pt idx="24">
                  <c:v>1.8183162862478643</c:v>
                </c:pt>
                <c:pt idx="25">
                  <c:v>1.9916995992014821</c:v>
                </c:pt>
                <c:pt idx="26">
                  <c:v>2.1728647325431032</c:v>
                </c:pt>
                <c:pt idx="27">
                  <c:v>2.361793056248739</c:v>
                </c:pt>
                <c:pt idx="28">
                  <c:v>2.5584658806037122</c:v>
                </c:pt>
                <c:pt idx="29">
                  <c:v>2.7628644564511502</c:v>
                </c:pt>
                <c:pt idx="30">
                  <c:v>2.9749699754418892</c:v>
                </c:pt>
                <c:pt idx="31">
                  <c:v>3.1947635702857671</c:v>
                </c:pt>
                <c:pt idx="32">
                  <c:v>3.4222263150042971</c:v>
                </c:pt>
                <c:pt idx="33">
                  <c:v>3.657339225184701</c:v>
                </c:pt>
                <c:pt idx="34">
                  <c:v>3.9000832582352913</c:v>
                </c:pt>
                <c:pt idx="35">
                  <c:v>4.1504393136421855</c:v>
                </c:pt>
                <c:pt idx="36">
                  <c:v>4.408373436395542</c:v>
                </c:pt>
                <c:pt idx="37">
                  <c:v>4.6738511390822293</c:v>
                </c:pt>
                <c:pt idx="38">
                  <c:v>4.9468522042620924</c:v>
                </c:pt>
                <c:pt idx="39">
                  <c:v>5.2273563746255851</c:v>
                </c:pt>
                <c:pt idx="40">
                  <c:v>5.5153433591705081</c:v>
                </c:pt>
                <c:pt idx="41">
                  <c:v>5.8107928324423543</c:v>
                </c:pt>
                <c:pt idx="42">
                  <c:v>6.1136844338504801</c:v>
                </c:pt>
                <c:pt idx="43">
                  <c:v>6.4239977670528514</c:v>
                </c:pt>
                <c:pt idx="44">
                  <c:v>6.7417123994029753</c:v>
                </c:pt>
                <c:pt idx="45">
                  <c:v>7.0668078614533849</c:v>
                </c:pt>
                <c:pt idx="46">
                  <c:v>7.3992636465106711</c:v>
                </c:pt>
                <c:pt idx="47">
                  <c:v>7.7390592102376212</c:v>
                </c:pt>
                <c:pt idx="48">
                  <c:v>8.0861739702985052</c:v>
                </c:pt>
                <c:pt idx="49">
                  <c:v>8.4405873060439625</c:v>
                </c:pt>
                <c:pt idx="50">
                  <c:v>8.8022785582323149</c:v>
                </c:pt>
                <c:pt idx="51">
                  <c:v>9.1712294446431297</c:v>
                </c:pt>
                <c:pt idx="52">
                  <c:v>9.5474264786206469</c:v>
                </c:pt>
                <c:pt idx="53">
                  <c:v>9.9308585571787109</c:v>
                </c:pt>
                <c:pt idx="54">
                  <c:v>10.321514546175811</c:v>
                </c:pt>
                <c:pt idx="55">
                  <c:v>10.719383280064211</c:v>
                </c:pt>
                <c:pt idx="56">
                  <c:v>11.124453561659102</c:v>
                </c:pt>
                <c:pt idx="57">
                  <c:v>11.536714161926477</c:v>
                </c:pt>
                <c:pt idx="58">
                  <c:v>11.956153819788485</c:v>
                </c:pt>
                <c:pt idx="59">
                  <c:v>12.38276124194517</c:v>
                </c:pt>
                <c:pt idx="60">
                  <c:v>12.816525102711584</c:v>
                </c:pt>
                <c:pt idx="61">
                  <c:v>13.25743404386931</c:v>
                </c:pt>
                <c:pt idx="62">
                  <c:v>13.705476674531562</c:v>
                </c:pt>
                <c:pt idx="63">
                  <c:v>14.160641571021051</c:v>
                </c:pt>
                <c:pt idx="64">
                  <c:v>14.622917276759887</c:v>
                </c:pt>
                <c:pt idx="65">
                  <c:v>15.092292302170847</c:v>
                </c:pt>
                <c:pt idx="66">
                  <c:v>15.568755124589369</c:v>
                </c:pt>
                <c:pt idx="67">
                  <c:v>16.052294188185709</c:v>
                </c:pt>
                <c:pt idx="68">
                  <c:v>16.542897903896698</c:v>
                </c:pt>
                <c:pt idx="69">
                  <c:v>17.04055464936663</c:v>
                </c:pt>
                <c:pt idx="70">
                  <c:v>17.545252768896773</c:v>
                </c:pt>
                <c:pt idx="71">
                  <c:v>18.056980573403123</c:v>
                </c:pt>
                <c:pt idx="72">
                  <c:v>18.575726340381934</c:v>
                </c:pt>
                <c:pt idx="73">
                  <c:v>19.101478313882705</c:v>
                </c:pt>
                <c:pt idx="74">
                  <c:v>19.634224704488243</c:v>
                </c:pt>
                <c:pt idx="75">
                  <c:v>20.173953689301449</c:v>
                </c:pt>
                <c:pt idx="76">
                  <c:v>20.720653411938581</c:v>
                </c:pt>
                <c:pt idx="77">
                  <c:v>21.274311982528634</c:v>
                </c:pt>
                <c:pt idx="78">
                  <c:v>21.834917477718612</c:v>
                </c:pt>
                <c:pt idx="79">
                  <c:v>22.402457940684428</c:v>
                </c:pt>
                <c:pt idx="80">
                  <c:v>22.976921381147175</c:v>
                </c:pt>
                <c:pt idx="81">
                  <c:v>23.558295775394551</c:v>
                </c:pt>
                <c:pt idx="82">
                  <c:v>24.146569066307247</c:v>
                </c:pt>
                <c:pt idx="83">
                  <c:v>24.741729163390048</c:v>
                </c:pt>
                <c:pt idx="84">
                  <c:v>25.343763942807509</c:v>
                </c:pt>
                <c:pt idx="85">
                  <c:v>25.952661247424011</c:v>
                </c:pt>
                <c:pt idx="86">
                  <c:v>26.56840888684799</c:v>
                </c:pt>
                <c:pt idx="87">
                  <c:v>27.190994637480255</c:v>
                </c:pt>
                <c:pt idx="88">
                  <c:v>27.820406242566154</c:v>
                </c:pt>
                <c:pt idx="89">
                  <c:v>28.456631412251536</c:v>
                </c:pt>
                <c:pt idx="90">
                  <c:v>29.099657823642289</c:v>
                </c:pt>
                <c:pt idx="91">
                  <c:v>29.749473120867389</c:v>
                </c:pt>
                <c:pt idx="92">
                  <c:v>30.406064915145301</c:v>
                </c:pt>
                <c:pt idx="93">
                  <c:v>31.069420784853619</c:v>
                </c:pt>
                <c:pt idx="94">
                  <c:v>31.739528275601867</c:v>
                </c:pt>
                <c:pt idx="95">
                  <c:v>32.416374900307289</c:v>
                </c:pt>
                <c:pt idx="96">
                  <c:v>33.099948139273614</c:v>
                </c:pt>
                <c:pt idx="97">
                  <c:v>33.790235440272603</c:v>
                </c:pt>
                <c:pt idx="98">
                  <c:v>34.487224218628398</c:v>
                </c:pt>
                <c:pt idx="99">
                  <c:v>35.190901857304453</c:v>
                </c:pt>
                <c:pt idx="100">
                  <c:v>35.901255706993105</c:v>
                </c:pt>
                <c:pt idx="101">
                  <c:v>36.618271977656789</c:v>
                </c:pt>
                <c:pt idx="102">
                  <c:v>37.341934628980148</c:v>
                </c:pt>
                <c:pt idx="103">
                  <c:v>38.072226477618543</c:v>
                </c:pt>
                <c:pt idx="104">
                  <c:v>38.809130305572602</c:v>
                </c:pt>
                <c:pt idx="105">
                  <c:v>39.552628860354062</c:v>
                </c:pt>
                <c:pt idx="106">
                  <c:v>40.302704855153841</c:v>
                </c:pt>
                <c:pt idx="107">
                  <c:v>41.059340969012339</c:v>
                </c:pt>
                <c:pt idx="108">
                  <c:v>41.822519846991852</c:v>
                </c:pt>
                <c:pt idx="109">
                  <c:v>42.592224100351054</c:v>
                </c:pt>
                <c:pt idx="110">
                  <c:v>43.368436306721478</c:v>
                </c:pt>
                <c:pt idx="111">
                  <c:v>44.15113901028591</c:v>
                </c:pt>
                <c:pt idx="112">
                  <c:v>44.94031472195865</c:v>
                </c:pt>
                <c:pt idx="113">
                  <c:v>45.735945919567605</c:v>
                </c:pt>
                <c:pt idx="114">
                  <c:v>46.538015048038091</c:v>
                </c:pt>
                <c:pt idx="115">
                  <c:v>47.346504519578353</c:v>
                </c:pt>
                <c:pt idx="116">
                  <c:v>48.161396713866722</c:v>
                </c:pt>
                <c:pt idx="117">
                  <c:v>48.982673978240364</c:v>
                </c:pt>
                <c:pt idx="118">
                  <c:v>49.810318627885536</c:v>
                </c:pt>
                <c:pt idx="119">
                  <c:v>50.644312946029373</c:v>
                </c:pt>
                <c:pt idx="120">
                  <c:v>51.484639184133087</c:v>
                </c:pt>
                <c:pt idx="121">
                  <c:v>52.331279562086578</c:v>
                </c:pt>
                <c:pt idx="122">
                  <c:v>53.184216268404384</c:v>
                </c:pt>
                <c:pt idx="123">
                  <c:v>54.043431460422944</c:v>
                </c:pt>
                <c:pt idx="124">
                  <c:v>54.908907264499128</c:v>
                </c:pt>
                <c:pt idx="125">
                  <c:v>55.780625776209995</c:v>
                </c:pt>
                <c:pt idx="126">
                  <c:v>56.658569060553738</c:v>
                </c:pt>
                <c:pt idx="127">
                  <c:v>57.54271915215179</c:v>
                </c:pt>
                <c:pt idx="128">
                  <c:v>58.433058055452001</c:v>
                </c:pt>
                <c:pt idx="129">
                  <c:v>59.329567744932952</c:v>
                </c:pt>
                <c:pt idx="130">
                  <c:v>60.232230165309247</c:v>
                </c:pt>
                <c:pt idx="131">
                  <c:v>61.141027231737873</c:v>
                </c:pt>
                <c:pt idx="132">
                  <c:v>62.05594083002547</c:v>
                </c:pt>
                <c:pt idx="133">
                  <c:v>62.976952816836601</c:v>
                </c:pt>
                <c:pt idx="134">
                  <c:v>63.904045019902888</c:v>
                </c:pt>
                <c:pt idx="135">
                  <c:v>64.83719923823304</c:v>
                </c:pt>
                <c:pt idx="136">
                  <c:v>65.776397242323739</c:v>
                </c:pt>
                <c:pt idx="137">
                  <c:v>66.721620774371331</c:v>
                </c:pt>
                <c:pt idx="138">
                  <c:v>67.672851548484317</c:v>
                </c:pt>
                <c:pt idx="139">
                  <c:v>68.630071250896577</c:v>
                </c:pt>
                <c:pt idx="140">
                  <c:v>69.593261540181359</c:v>
                </c:pt>
                <c:pt idx="141">
                  <c:v>70.562404047465989</c:v>
                </c:pt>
                <c:pt idx="142">
                  <c:v>71.53748037664721</c:v>
                </c:pt>
                <c:pt idx="143">
                  <c:v>72.518472104607213</c:v>
                </c:pt>
                <c:pt idx="144">
                  <c:v>73.505360781430269</c:v>
                </c:pt>
                <c:pt idx="145">
                  <c:v>74.498127930620001</c:v>
                </c:pt>
                <c:pt idx="146">
                  <c:v>75.496755049317201</c:v>
                </c:pt>
                <c:pt idx="147">
                  <c:v>76.501223608518259</c:v>
                </c:pt>
                <c:pt idx="148">
                  <c:v>77.511515053294033</c:v>
                </c:pt>
                <c:pt idx="149">
                  <c:v>78.52761080300931</c:v>
                </c:pt>
                <c:pt idx="150">
                  <c:v>79.549492251542716</c:v>
                </c:pt>
                <c:pt idx="151">
                  <c:v>80.577141143215641</c:v>
                </c:pt>
                <c:pt idx="152">
                  <c:v>81.610539948971692</c:v>
                </c:pt>
                <c:pt idx="153">
                  <c:v>82.649671491142087</c:v>
                </c:pt>
                <c:pt idx="154">
                  <c:v>83.694518567950325</c:v>
                </c:pt>
                <c:pt idx="155">
                  <c:v>84.74506395371192</c:v>
                </c:pt>
                <c:pt idx="156">
                  <c:v>85.801290399034514</c:v>
                </c:pt>
                <c:pt idx="157">
                  <c:v>86.863180631018466</c:v>
                </c:pt>
                <c:pt idx="158">
                  <c:v>87.930717353457709</c:v>
                </c:pt>
                <c:pt idx="159">
                  <c:v>89.003883247041045</c:v>
                </c:pt>
                <c:pt idx="160">
                  <c:v>90.082660969553714</c:v>
                </c:pt>
                <c:pt idx="161">
                  <c:v>91.167033156079356</c:v>
                </c:pt>
                <c:pt idx="162">
                  <c:v>92.25698241920216</c:v>
                </c:pt>
                <c:pt idx="163">
                  <c:v>93.352491349209444</c:v>
                </c:pt>
                <c:pt idx="164">
                  <c:v>94.453542514294384</c:v>
                </c:pt>
                <c:pt idx="165">
                  <c:v>95.560118460759085</c:v>
                </c:pt>
                <c:pt idx="166">
                  <c:v>96.672201713217802</c:v>
                </c:pt>
                <c:pt idx="167">
                  <c:v>97.789774774800492</c:v>
                </c:pt>
                <c:pt idx="168">
                  <c:v>98.912820127356468</c:v>
                </c:pt>
                <c:pt idx="169">
                  <c:v>100.04132023165833</c:v>
                </c:pt>
                <c:pt idx="170">
                  <c:v>101.17525752760604</c:v>
                </c:pt>
                <c:pt idx="171">
                  <c:v>102.31461443443112</c:v>
                </c:pt>
                <c:pt idx="172">
                  <c:v>103.45937335090112</c:v>
                </c:pt>
                <c:pt idx="173">
                  <c:v>104.60951665552405</c:v>
                </c:pt>
                <c:pt idx="174">
                  <c:v>105.76502670675308</c:v>
                </c:pt>
                <c:pt idx="175">
                  <c:v>106.92588584319128</c:v>
                </c:pt>
                <c:pt idx="176">
                  <c:v>108.09207638379648</c:v>
                </c:pt>
                <c:pt idx="177">
                  <c:v>109.26358062808617</c:v>
                </c:pt>
                <c:pt idx="178">
                  <c:v>110.44038085634251</c:v>
                </c:pt>
                <c:pt idx="179">
                  <c:v>111.62245932981739</c:v>
                </c:pt>
                <c:pt idx="180">
                  <c:v>112.80979829093748</c:v>
                </c:pt>
                <c:pt idx="181">
                  <c:v>114.00237996350937</c:v>
                </c:pt>
                <c:pt idx="182">
                  <c:v>115.20018655292471</c:v>
                </c:pt>
                <c:pt idx="183">
                  <c:v>116.4032002463653</c:v>
                </c:pt>
                <c:pt idx="184">
                  <c:v>117.61140321300827</c:v>
                </c:pt>
                <c:pt idx="185">
                  <c:v>118.82477760423113</c:v>
                </c:pt>
                <c:pt idx="186">
                  <c:v>120.04330555381686</c:v>
                </c:pt>
                <c:pt idx="187">
                  <c:v>121.26696917815894</c:v>
                </c:pt>
                <c:pt idx="188">
                  <c:v>122.49575057646628</c:v>
                </c:pt>
                <c:pt idx="189">
                  <c:v>123.72963183096813</c:v>
                </c:pt>
                <c:pt idx="190">
                  <c:v>124.96859500711891</c:v>
                </c:pt>
                <c:pt idx="191">
                  <c:v>126.21262215380287</c:v>
                </c:pt>
                <c:pt idx="192">
                  <c:v>127.46169530353878</c:v>
                </c:pt>
                <c:pt idx="193">
                  <c:v>128.71579647268433</c:v>
                </c:pt>
                <c:pt idx="194">
                  <c:v>129.97490766164066</c:v>
                </c:pt>
                <c:pt idx="195">
                  <c:v>131.23901085505636</c:v>
                </c:pt>
                <c:pt idx="196">
                  <c:v>132.50808802203181</c:v>
                </c:pt>
                <c:pt idx="197">
                  <c:v>133.78212111632291</c:v>
                </c:pt>
                <c:pt idx="198">
                  <c:v>135.06109207654495</c:v>
                </c:pt>
                <c:pt idx="199">
                  <c:v>136.34498282637617</c:v>
                </c:pt>
                <c:pt idx="200">
                  <c:v>137.63377527476106</c:v>
                </c:pt>
                <c:pt idx="201">
                  <c:v>138.92745131611372</c:v>
                </c:pt>
                <c:pt idx="202">
                  <c:v>140.22599283052065</c:v>
                </c:pt>
                <c:pt idx="203">
                  <c:v>141.52938168394365</c:v>
                </c:pt>
                <c:pt idx="204">
                  <c:v>142.8375997284223</c:v>
                </c:pt>
                <c:pt idx="205">
                  <c:v>144.1506288022762</c:v>
                </c:pt>
                <c:pt idx="206">
                  <c:v>145.46845073030707</c:v>
                </c:pt>
                <c:pt idx="207">
                  <c:v>146.79104732400052</c:v>
                </c:pt>
                <c:pt idx="208">
                  <c:v>148.1184003817275</c:v>
                </c:pt>
                <c:pt idx="209">
                  <c:v>149.45049168894562</c:v>
                </c:pt>
                <c:pt idx="210">
                  <c:v>150.78730301840002</c:v>
                </c:pt>
                <c:pt idx="211">
                  <c:v>152.12881613032408</c:v>
                </c:pt>
                <c:pt idx="212">
                  <c:v>153.4750127726397</c:v>
                </c:pt>
                <c:pt idx="213">
                  <c:v>154.82587468115739</c:v>
                </c:pt>
                <c:pt idx="214">
                  <c:v>156.18138357977588</c:v>
                </c:pt>
                <c:pt idx="215">
                  <c:v>157.5415211806816</c:v>
                </c:pt>
                <c:pt idx="216">
                  <c:v>158.90626918454765</c:v>
                </c:pt>
                <c:pt idx="217">
                  <c:v>160.27560928073251</c:v>
                </c:pt>
                <c:pt idx="218">
                  <c:v>161.64952314747833</c:v>
                </c:pt>
                <c:pt idx="219">
                  <c:v>163.02799245210889</c:v>
                </c:pt>
                <c:pt idx="220">
                  <c:v>164.41099885122722</c:v>
                </c:pt>
                <c:pt idx="221">
                  <c:v>165.79852399091274</c:v>
                </c:pt>
                <c:pt idx="222">
                  <c:v>167.19054950691816</c:v>
                </c:pt>
                <c:pt idx="223">
                  <c:v>168.5870570248658</c:v>
                </c:pt>
                <c:pt idx="224">
                  <c:v>169.98802816044363</c:v>
                </c:pt>
                <c:pt idx="225">
                  <c:v>171.39344451960088</c:v>
                </c:pt>
                <c:pt idx="226">
                  <c:v>172.80328769874316</c:v>
                </c:pt>
                <c:pt idx="227">
                  <c:v>174.21753928492726</c:v>
                </c:pt>
                <c:pt idx="228">
                  <c:v>175.63618085605532</c:v>
                </c:pt>
                <c:pt idx="229">
                  <c:v>177.05919398106889</c:v>
                </c:pt>
                <c:pt idx="230">
                  <c:v>178.48656022014211</c:v>
                </c:pt>
                <c:pt idx="231">
                  <c:v>179.91826112487485</c:v>
                </c:pt>
                <c:pt idx="232">
                  <c:v>181.35427823848499</c:v>
                </c:pt>
                <c:pt idx="233">
                  <c:v>182.79459309600063</c:v>
                </c:pt>
                <c:pt idx="234">
                  <c:v>184.2391872244514</c:v>
                </c:pt>
                <c:pt idx="235">
                  <c:v>185.68804214305965</c:v>
                </c:pt>
                <c:pt idx="236">
                  <c:v>187.14113936343088</c:v>
                </c:pt>
                <c:pt idx="237">
                  <c:v>188.59846038974388</c:v>
                </c:pt>
                <c:pt idx="238">
                  <c:v>190.05998671894011</c:v>
                </c:pt>
                <c:pt idx="239">
                  <c:v>191.52569984091289</c:v>
                </c:pt>
                <c:pt idx="240">
                  <c:v>192.99558123869571</c:v>
                </c:pt>
                <c:pt idx="241">
                  <c:v>194.46961238865032</c:v>
                </c:pt>
                <c:pt idx="242">
                  <c:v>195.94777476065411</c:v>
                </c:pt>
                <c:pt idx="243">
                  <c:v>197.43004981828696</c:v>
                </c:pt>
                <c:pt idx="244">
                  <c:v>198.91641901901761</c:v>
                </c:pt>
                <c:pt idx="245">
                  <c:v>200.40686381438945</c:v>
                </c:pt>
                <c:pt idx="246">
                  <c:v>201.90136565020575</c:v>
                </c:pt>
                <c:pt idx="247">
                  <c:v>203.39990596671424</c:v>
                </c:pt>
                <c:pt idx="248">
                  <c:v>204.90246619879136</c:v>
                </c:pt>
                <c:pt idx="249">
                  <c:v>206.40902777612555</c:v>
                </c:pt>
                <c:pt idx="250">
                  <c:v>207.9195721234004</c:v>
                </c:pt>
                <c:pt idx="251">
                  <c:v>209.43407905116553</c:v>
                </c:pt>
                <c:pt idx="252">
                  <c:v>210.95252514660507</c:v>
                </c:pt>
                <c:pt idx="253">
                  <c:v>212.47488538368131</c:v>
                </c:pt>
                <c:pt idx="254">
                  <c:v>214.00113473342174</c:v>
                </c:pt>
                <c:pt idx="255">
                  <c:v>215.53124816418278</c:v>
                </c:pt>
                <c:pt idx="256">
                  <c:v>217.06520064191238</c:v>
                </c:pt>
                <c:pt idx="257">
                  <c:v>218.60296713041126</c:v>
                </c:pt>
                <c:pt idx="258">
                  <c:v>220.14452259159319</c:v>
                </c:pt>
                <c:pt idx="259">
                  <c:v>221.68984198574395</c:v>
                </c:pt>
                <c:pt idx="260">
                  <c:v>223.23890027177916</c:v>
                </c:pt>
                <c:pt idx="261">
                  <c:v>224.7916724075009</c:v>
                </c:pt>
                <c:pt idx="262">
                  <c:v>226.34813334985307</c:v>
                </c:pt>
                <c:pt idx="263">
                  <c:v>227.90825805517559</c:v>
                </c:pt>
                <c:pt idx="264">
                  <c:v>229.4720214794574</c:v>
                </c:pt>
                <c:pt idx="265">
                  <c:v>231.03939857858811</c:v>
                </c:pt>
                <c:pt idx="266">
                  <c:v>232.61036430860852</c:v>
                </c:pt>
                <c:pt idx="267">
                  <c:v>234.18489362595994</c:v>
                </c:pt>
                <c:pt idx="268">
                  <c:v>235.76296148773207</c:v>
                </c:pt>
                <c:pt idx="269">
                  <c:v>237.34454285190984</c:v>
                </c:pt>
                <c:pt idx="270">
                  <c:v>238.92961267761882</c:v>
                </c:pt>
                <c:pt idx="271">
                  <c:v>240.51814592536951</c:v>
                </c:pt>
                <c:pt idx="272">
                  <c:v>242.11011755730019</c:v>
                </c:pt>
                <c:pt idx="273">
                  <c:v>243.70550253741862</c:v>
                </c:pt>
                <c:pt idx="274">
                  <c:v>245.3042758318424</c:v>
                </c:pt>
                <c:pt idx="275">
                  <c:v>246.9064124090381</c:v>
                </c:pt>
                <c:pt idx="276">
                  <c:v>248.51188724005888</c:v>
                </c:pt>
                <c:pt idx="277">
                  <c:v>250.12067529878118</c:v>
                </c:pt>
                <c:pt idx="278">
                  <c:v>251.73275156213975</c:v>
                </c:pt>
                <c:pt idx="279">
                  <c:v>253.34809101036151</c:v>
                </c:pt>
                <c:pt idx="280">
                  <c:v>254.96666862719815</c:v>
                </c:pt>
                <c:pt idx="281">
                  <c:v>256.58845940015726</c:v>
                </c:pt>
                <c:pt idx="282">
                  <c:v>258.21343832073234</c:v>
                </c:pt>
                <c:pt idx="283">
                  <c:v>259.84158038463119</c:v>
                </c:pt>
                <c:pt idx="284">
                  <c:v>261.47286059200331</c:v>
                </c:pt>
                <c:pt idx="285">
                  <c:v>263.10725394766558</c:v>
                </c:pt>
                <c:pt idx="286">
                  <c:v>264.74473546132702</c:v>
                </c:pt>
                <c:pt idx="287">
                  <c:v>266.38528014781173</c:v>
                </c:pt>
                <c:pt idx="288">
                  <c:v>268.02886302728092</c:v>
                </c:pt>
                <c:pt idx="289">
                  <c:v>269.67545912545324</c:v>
                </c:pt>
                <c:pt idx="290">
                  <c:v>271.325043473824</c:v>
                </c:pt>
                <c:pt idx="291">
                  <c:v>272.97759110988278</c:v>
                </c:pt>
                <c:pt idx="292">
                  <c:v>274.63307707732997</c:v>
                </c:pt>
                <c:pt idx="293">
                  <c:v>276.29147642629169</c:v>
                </c:pt>
                <c:pt idx="294">
                  <c:v>277.95276421353344</c:v>
                </c:pt>
                <c:pt idx="295">
                  <c:v>279.61691550267227</c:v>
                </c:pt>
                <c:pt idx="296">
                  <c:v>281.28390536438786</c:v>
                </c:pt>
                <c:pt idx="297">
                  <c:v>282.95370887663182</c:v>
                </c:pt>
                <c:pt idx="298">
                  <c:v>284.62628351581145</c:v>
                </c:pt>
                <c:pt idx="299">
                  <c:v>286.30155155276105</c:v>
                </c:pt>
                <c:pt idx="300">
                  <c:v>287.97941767922237</c:v>
                </c:pt>
                <c:pt idx="301">
                  <c:v>289.65978663032428</c:v>
                </c:pt>
                <c:pt idx="302">
                  <c:v>291.34256318635494</c:v>
                </c:pt>
                <c:pt idx="303">
                  <c:v>293.02765217451474</c:v>
                </c:pt>
                <c:pt idx="304">
                  <c:v>294.71495847065017</c:v>
                </c:pt>
                <c:pt idx="305">
                  <c:v>296.40438700096882</c:v>
                </c:pt>
                <c:pt idx="306">
                  <c:v>298.09584274373503</c:v>
                </c:pt>
                <c:pt idx="307">
                  <c:v>299.78923073094637</c:v>
                </c:pt>
                <c:pt idx="308">
                  <c:v>301.48445604999102</c:v>
                </c:pt>
                <c:pt idx="309">
                  <c:v>303.18142384528562</c:v>
                </c:pt>
                <c:pt idx="310">
                  <c:v>304.88003931989397</c:v>
                </c:pt>
                <c:pt idx="311">
                  <c:v>306.58020773712639</c:v>
                </c:pt>
                <c:pt idx="312">
                  <c:v>308.28183442211963</c:v>
                </c:pt>
                <c:pt idx="313">
                  <c:v>309.9848247633974</c:v>
                </c:pt>
                <c:pt idx="314">
                  <c:v>311.68908421441154</c:v>
                </c:pt>
                <c:pt idx="315">
                  <c:v>313.39451829506379</c:v>
                </c:pt>
                <c:pt idx="316">
                  <c:v>315.10103259320795</c:v>
                </c:pt>
                <c:pt idx="317">
                  <c:v>316.8085327661326</c:v>
                </c:pt>
                <c:pt idx="318">
                  <c:v>318.51692454202464</c:v>
                </c:pt>
                <c:pt idx="319">
                  <c:v>320.2261137214129</c:v>
                </c:pt>
                <c:pt idx="320">
                  <c:v>321.93600617859266</c:v>
                </c:pt>
                <c:pt idx="321">
                  <c:v>323.64651485678212</c:v>
                </c:pt>
                <c:pt idx="322">
                  <c:v>325.3575667580202</c:v>
                </c:pt>
                <c:pt idx="323">
                  <c:v>327.06909593880772</c:v>
                </c:pt>
                <c:pt idx="324">
                  <c:v>328.78103651063037</c:v>
                </c:pt>
                <c:pt idx="325">
                  <c:v>330.49332264061275</c:v>
                </c:pt>
                <c:pt idx="326">
                  <c:v>332.20588855216323</c:v>
                </c:pt>
                <c:pt idx="327">
                  <c:v>333.91866852560935</c:v>
                </c:pt>
                <c:pt idx="328">
                  <c:v>335.63159689882315</c:v>
                </c:pt>
                <c:pt idx="329">
                  <c:v>337.34460806783761</c:v>
                </c:pt>
                <c:pt idx="330">
                  <c:v>339.05763648745312</c:v>
                </c:pt>
                <c:pt idx="331">
                  <c:v>340.77061667183466</c:v>
                </c:pt>
                <c:pt idx="332">
                  <c:v>342.48348319509944</c:v>
                </c:pt>
                <c:pt idx="333">
                  <c:v>344.19617069189519</c:v>
                </c:pt>
                <c:pt idx="334">
                  <c:v>345.90861385796899</c:v>
                </c:pt>
                <c:pt idx="335">
                  <c:v>347.62074745072664</c:v>
                </c:pt>
                <c:pt idx="336">
                  <c:v>349.33250628978277</c:v>
                </c:pt>
                <c:pt idx="337">
                  <c:v>351.04382525750145</c:v>
                </c:pt>
                <c:pt idx="338">
                  <c:v>352.75463929952787</c:v>
                </c:pt>
                <c:pt idx="339">
                  <c:v>354.46488342531006</c:v>
                </c:pt>
                <c:pt idx="340">
                  <c:v>356.17449270861215</c:v>
                </c:pt>
                <c:pt idx="341">
                  <c:v>357.88340228801769</c:v>
                </c:pt>
                <c:pt idx="342">
                  <c:v>359.59154736742431</c:v>
                </c:pt>
                <c:pt idx="343">
                  <c:v>361.29886321652884</c:v>
                </c:pt>
                <c:pt idx="344">
                  <c:v>363.00528517130351</c:v>
                </c:pt>
                <c:pt idx="345">
                  <c:v>364.71074863446302</c:v>
                </c:pt>
                <c:pt idx="346">
                  <c:v>366.4151890759224</c:v>
                </c:pt>
                <c:pt idx="347">
                  <c:v>368.118542033246</c:v>
                </c:pt>
                <c:pt idx="348">
                  <c:v>369.8207438654083</c:v>
                </c:pt>
                <c:pt idx="349">
                  <c:v>371.52173250571508</c:v>
                </c:pt>
                <c:pt idx="350">
                  <c:v>373.22144670722844</c:v>
                </c:pt>
                <c:pt idx="351">
                  <c:v>374.91982528898967</c:v>
                </c:pt>
                <c:pt idx="352">
                  <c:v>376.61680713637691</c:v>
                </c:pt>
                <c:pt idx="353">
                  <c:v>378.31233120145504</c:v>
                </c:pt>
                <c:pt idx="354">
                  <c:v>380.00633650331719</c:v>
                </c:pt>
                <c:pt idx="355">
                  <c:v>381.69876212841882</c:v>
                </c:pt>
                <c:pt idx="356">
                  <c:v>383.38954723090364</c:v>
                </c:pt>
                <c:pt idx="357">
                  <c:v>385.07863103292175</c:v>
                </c:pt>
                <c:pt idx="358">
                  <c:v>386.76595282494003</c:v>
                </c:pt>
                <c:pt idx="359">
                  <c:v>388.45145196604477</c:v>
                </c:pt>
                <c:pt idx="360">
                  <c:v>390.13508354435527</c:v>
                </c:pt>
                <c:pt idx="361">
                  <c:v>391.81683401816588</c:v>
                </c:pt>
                <c:pt idx="362">
                  <c:v>393.49670551863704</c:v>
                </c:pt>
                <c:pt idx="363">
                  <c:v>395.17470017161696</c:v>
                </c:pt>
                <c:pt idx="364">
                  <c:v>396.85082009765847</c:v>
                </c:pt>
                <c:pt idx="365">
                  <c:v>398.52506741203592</c:v>
                </c:pt>
                <c:pt idx="366">
                  <c:v>400.19744422476191</c:v>
                </c:pt>
                <c:pt idx="367">
                  <c:v>401.86795264060396</c:v>
                </c:pt>
                <c:pt idx="368">
                  <c:v>403.53659475910115</c:v>
                </c:pt>
                <c:pt idx="369">
                  <c:v>405.20337267458075</c:v>
                </c:pt>
                <c:pt idx="370">
                  <c:v>406.86828847617465</c:v>
                </c:pt>
                <c:pt idx="371">
                  <c:v>408.53134424783576</c:v>
                </c:pt>
                <c:pt idx="372">
                  <c:v>410.19254206835433</c:v>
                </c:pt>
                <c:pt idx="373">
                  <c:v>411.85188401137435</c:v>
                </c:pt>
                <c:pt idx="374">
                  <c:v>413.50937214540983</c:v>
                </c:pt>
                <c:pt idx="375">
                  <c:v>415.16500853386066</c:v>
                </c:pt>
                <c:pt idx="376">
                  <c:v>416.81879523502903</c:v>
                </c:pt>
                <c:pt idx="377">
                  <c:v>418.47073430213533</c:v>
                </c:pt>
                <c:pt idx="378">
                  <c:v>420.12082778333405</c:v>
                </c:pt>
                <c:pt idx="379">
                  <c:v>421.76907772172979</c:v>
                </c:pt>
                <c:pt idx="380">
                  <c:v>423.41548615539301</c:v>
                </c:pt>
                <c:pt idx="381">
                  <c:v>425.0600551173759</c:v>
                </c:pt>
                <c:pt idx="382">
                  <c:v>426.70278663572799</c:v>
                </c:pt>
                <c:pt idx="383">
                  <c:v>428.3436827335118</c:v>
                </c:pt>
                <c:pt idx="384">
                  <c:v>429.98274542881853</c:v>
                </c:pt>
                <c:pt idx="385">
                  <c:v>431.61997673478351</c:v>
                </c:pt>
                <c:pt idx="386">
                  <c:v>433.2553786596016</c:v>
                </c:pt>
                <c:pt idx="387">
                  <c:v>434.88895320654268</c:v>
                </c:pt>
                <c:pt idx="388">
                  <c:v>436.52070237396691</c:v>
                </c:pt>
                <c:pt idx="389">
                  <c:v>438.15062815534009</c:v>
                </c:pt>
                <c:pt idx="390">
                  <c:v>439.77873253924878</c:v>
                </c:pt>
                <c:pt idx="391">
                  <c:v>441.40501750941553</c:v>
                </c:pt>
                <c:pt idx="392">
                  <c:v>443.02948504471397</c:v>
                </c:pt>
                <c:pt idx="393">
                  <c:v>444.65213711918369</c:v>
                </c:pt>
                <c:pt idx="394">
                  <c:v>446.27297570204541</c:v>
                </c:pt>
                <c:pt idx="395">
                  <c:v>447.89200275771583</c:v>
                </c:pt>
                <c:pt idx="396">
                  <c:v>449.50922024582241</c:v>
                </c:pt>
                <c:pt idx="397">
                  <c:v>451.12463012121822</c:v>
                </c:pt>
                <c:pt idx="398">
                  <c:v>452.73823433399667</c:v>
                </c:pt>
                <c:pt idx="399">
                  <c:v>454.35003482950623</c:v>
                </c:pt>
                <c:pt idx="400">
                  <c:v>455.96003354836495</c:v>
                </c:pt>
                <c:pt idx="401">
                  <c:v>471.96107300060953</c:v>
                </c:pt>
                <c:pt idx="402">
                  <c:v>487.78318333211666</c:v>
                </c:pt>
                <c:pt idx="403">
                  <c:v>503.42825807706595</c:v>
                </c:pt>
                <c:pt idx="404">
                  <c:v>518.89814542549937</c:v>
                </c:pt>
                <c:pt idx="405">
                  <c:v>534.19464958529625</c:v>
                </c:pt>
                <c:pt idx="406">
                  <c:v>549.31953209177277</c:v>
                </c:pt>
                <c:pt idx="407">
                  <c:v>564.27451306730495</c:v>
                </c:pt>
                <c:pt idx="408">
                  <c:v>579.06127243324454</c:v>
                </c:pt>
                <c:pt idx="409">
                  <c:v>593.68145107627743</c:v>
                </c:pt>
                <c:pt idx="410">
                  <c:v>608.13665197126136</c:v>
                </c:pt>
                <c:pt idx="411">
                  <c:v>622.42844126247451</c:v>
                </c:pt>
                <c:pt idx="412">
                  <c:v>636.558349305104</c:v>
                </c:pt>
                <c:pt idx="413">
                  <c:v>650.52787166871224</c:v>
                </c:pt>
                <c:pt idx="414">
                  <c:v>664.33847010432908</c:v>
                </c:pt>
                <c:pt idx="415">
                  <c:v>677.9915734767344</c:v>
                </c:pt>
                <c:pt idx="416">
                  <c:v>691.48857866341723</c:v>
                </c:pt>
                <c:pt idx="417">
                  <c:v>704.83085142162349</c:v>
                </c:pt>
                <c:pt idx="418">
                  <c:v>718.01972722483549</c:v>
                </c:pt>
                <c:pt idx="419">
                  <c:v>731.05651206995776</c:v>
                </c:pt>
                <c:pt idx="420">
                  <c:v>743.94248325642502</c:v>
                </c:pt>
                <c:pt idx="421">
                  <c:v>756.67889013838635</c:v>
                </c:pt>
                <c:pt idx="422">
                  <c:v>769.26695485106575</c:v>
                </c:pt>
                <c:pt idx="423">
                  <c:v>781.70787301234577</c:v>
                </c:pt>
                <c:pt idx="424">
                  <c:v>794.00281440057267</c:v>
                </c:pt>
                <c:pt idx="425">
                  <c:v>806.15292360953242</c:v>
                </c:pt>
                <c:pt idx="426">
                  <c:v>818.15932068150437</c:v>
                </c:pt>
                <c:pt idx="427">
                  <c:v>830.02310171925626</c:v>
                </c:pt>
                <c:pt idx="428">
                  <c:v>841.74533947780549</c:v>
                </c:pt>
                <c:pt idx="429">
                  <c:v>853.32708393673147</c:v>
                </c:pt>
                <c:pt idx="430">
                  <c:v>864.76936285379099</c:v>
                </c:pt>
                <c:pt idx="431">
                  <c:v>876.07318230055296</c:v>
                </c:pt>
                <c:pt idx="432">
                  <c:v>887.23952718073645</c:v>
                </c:pt>
                <c:pt idx="433">
                  <c:v>898.26936173190711</c:v>
                </c:pt>
                <c:pt idx="434">
                  <c:v>909.16363001115553</c:v>
                </c:pt>
                <c:pt idx="435">
                  <c:v>919.92325636535645</c:v>
                </c:pt>
                <c:pt idx="436">
                  <c:v>930.54914588657891</c:v>
                </c:pt>
                <c:pt idx="437">
                  <c:v>941.04218485319529</c:v>
                </c:pt>
                <c:pt idx="438">
                  <c:v>951.40324115721126</c:v>
                </c:pt>
                <c:pt idx="439">
                  <c:v>961.6331647183174</c:v>
                </c:pt>
                <c:pt idx="440">
                  <c:v>971.73278788514222</c:v>
                </c:pt>
                <c:pt idx="441">
                  <c:v>981.70292582416516</c:v>
                </c:pt>
                <c:pt idx="442">
                  <c:v>991.54437689673011</c:v>
                </c:pt>
                <c:pt idx="443">
                  <c:v>1001.2579230245801</c:v>
                </c:pt>
                <c:pt idx="444">
                  <c:v>1010.8443300443178</c:v>
                </c:pt>
                <c:pt idx="445">
                  <c:v>1020.3043480511785</c:v>
                </c:pt>
                <c:pt idx="446">
                  <c:v>1029.6387117324891</c:v>
                </c:pt>
                <c:pt idx="447">
                  <c:v>1038.8481406911674</c:v>
                </c:pt>
                <c:pt idx="448">
                  <c:v>1047.9333397596049</c:v>
                </c:pt>
                <c:pt idx="449">
                  <c:v>1056.8949993042629</c:v>
                </c:pt>
                <c:pt idx="450">
                  <c:v>1065.7337955212961</c:v>
                </c:pt>
                <c:pt idx="451">
                  <c:v>1074.4503907235073</c:v>
                </c:pt>
                <c:pt idx="452">
                  <c:v>1083.0454336189248</c:v>
                </c:pt>
                <c:pt idx="453">
                  <c:v>1091.5195595812838</c:v>
                </c:pt>
                <c:pt idx="454">
                  <c:v>1099.8733909126793</c:v>
                </c:pt>
                <c:pt idx="455">
                  <c:v>1108.1075370986523</c:v>
                </c:pt>
                <c:pt idx="456">
                  <c:v>1116.2225950559571</c:v>
                </c:pt>
                <c:pt idx="457">
                  <c:v>1124.2191493732512</c:v>
                </c:pt>
                <c:pt idx="458">
                  <c:v>1132.09777254494</c:v>
                </c:pt>
                <c:pt idx="459">
                  <c:v>1139.8590251983981</c:v>
                </c:pt>
                <c:pt idx="460">
                  <c:v>1147.5034563147847</c:v>
                </c:pt>
                <c:pt idx="461">
                  <c:v>1155.0316034436596</c:v>
                </c:pt>
                <c:pt idx="462">
                  <c:v>1162.4439929116011</c:v>
                </c:pt>
                <c:pt idx="463">
                  <c:v>1169.7411400250207</c:v>
                </c:pt>
                <c:pt idx="464">
                  <c:v>1176.9235492673604</c:v>
                </c:pt>
                <c:pt idx="465">
                  <c:v>1183.9917144908559</c:v>
                </c:pt>
                <c:pt idx="466">
                  <c:v>1190.9461191030416</c:v>
                </c:pt>
                <c:pt idx="467">
                  <c:v>1197.7872362481671</c:v>
                </c:pt>
                <c:pt idx="468">
                  <c:v>1204.5155289836905</c:v>
                </c:pt>
                <c:pt idx="469">
                  <c:v>1211.1314504520108</c:v>
                </c:pt>
                <c:pt idx="470">
                  <c:v>1217.6354440475943</c:v>
                </c:pt>
                <c:pt idx="471">
                  <c:v>1224.0279435796492</c:v>
                </c:pt>
                <c:pt idx="472">
                  <c:v>1230.3093734304941</c:v>
                </c:pt>
                <c:pt idx="473">
                  <c:v>1236.4801487097689</c:v>
                </c:pt>
                <c:pt idx="474">
                  <c:v>1242.540675404628</c:v>
                </c:pt>
                <c:pt idx="475">
                  <c:v>1248.4913505260561</c:v>
                </c:pt>
                <c:pt idx="476">
                  <c:v>1254.3325622514435</c:v>
                </c:pt>
                <c:pt idx="477">
                  <c:v>1260.0646900635552</c:v>
                </c:pt>
                <c:pt idx="478">
                  <c:v>1265.6881048860278</c:v>
                </c:pt>
                <c:pt idx="479">
                  <c:v>1271.2031692155244</c:v>
                </c:pt>
                <c:pt idx="480">
                  <c:v>1276.6102372506814</c:v>
                </c:pt>
                <c:pt idx="481">
                  <c:v>1281.9096550179734</c:v>
                </c:pt>
                <c:pt idx="482">
                  <c:v>1287.1017604946292</c:v>
                </c:pt>
                <c:pt idx="483">
                  <c:v>1292.1868837287286</c:v>
                </c:pt>
                <c:pt idx="484">
                  <c:v>1297.1653469566097</c:v>
                </c:pt>
                <c:pt idx="485">
                  <c:v>1302.0374647177216</c:v>
                </c:pt>
                <c:pt idx="486">
                  <c:v>1306.8035439670537</c:v>
                </c:pt>
                <c:pt idx="487">
                  <c:v>1311.4638841852804</c:v>
                </c:pt>
                <c:pt idx="488">
                  <c:v>1316.0187774867595</c:v>
                </c:pt>
                <c:pt idx="489">
                  <c:v>1320.4685087255266</c:v>
                </c:pt>
                <c:pt idx="490">
                  <c:v>1324.8133555994336</c:v>
                </c:pt>
                <c:pt idx="491">
                  <c:v>1329.0535887525841</c:v>
                </c:pt>
                <c:pt idx="492">
                  <c:v>1333.1894718762205</c:v>
                </c:pt>
                <c:pt idx="493">
                  <c:v>1337.221261808231</c:v>
                </c:pt>
                <c:pt idx="494">
                  <c:v>1341.1492086314452</c:v>
                </c:pt>
                <c:pt idx="495">
                  <c:v>1344.9735557709007</c:v>
                </c:pt>
                <c:pt idx="496">
                  <c:v>1348.6945400902691</c:v>
                </c:pt>
                <c:pt idx="497">
                  <c:v>1352.3123919876414</c:v>
                </c:pt>
                <c:pt idx="498">
                  <c:v>1355.8273354908845</c:v>
                </c:pt>
                <c:pt idx="499">
                  <c:v>1359.2395883527934</c:v>
                </c:pt>
                <c:pt idx="500">
                  <c:v>1362.5493621462758</c:v>
                </c:pt>
                <c:pt idx="501">
                  <c:v>1365.7568623598231</c:v>
                </c:pt>
                <c:pt idx="502">
                  <c:v>1368.8622884935346</c:v>
                </c:pt>
                <c:pt idx="503">
                  <c:v>1371.8658341559844</c:v>
                </c:pt>
                <c:pt idx="504">
                  <c:v>1374.7676871622316</c:v>
                </c:pt>
                <c:pt idx="505">
                  <c:v>1377.5680296332987</c:v>
                </c:pt>
                <c:pt idx="506">
                  <c:v>1380.2670380974635</c:v>
                </c:pt>
                <c:pt idx="507">
                  <c:v>1382.8648835937252</c:v>
                </c:pt>
                <c:pt idx="508">
                  <c:v>1385.3617317778323</c:v>
                </c:pt>
                <c:pt idx="509">
                  <c:v>1387.7577430312767</c:v>
                </c:pt>
                <c:pt idx="510">
                  <c:v>1390.053072573678</c:v>
                </c:pt>
                <c:pt idx="511">
                  <c:v>1392.2478705790056</c:v>
                </c:pt>
                <c:pt idx="512">
                  <c:v>1394.3422822960968</c:v>
                </c:pt>
                <c:pt idx="513">
                  <c:v>1396.3364481739454</c:v>
                </c:pt>
                <c:pt idx="514">
                  <c:v>1398.2305039922492</c:v>
                </c:pt>
                <c:pt idx="515">
                  <c:v>1400.0245809976996</c:v>
                </c:pt>
                <c:pt idx="516">
                  <c:v>1401.7188060465073</c:v>
                </c:pt>
                <c:pt idx="517">
                  <c:v>1403.3133017536388</c:v>
                </c:pt>
                <c:pt idx="518">
                  <c:v>1404.8081866492232</c:v>
                </c:pt>
                <c:pt idx="519">
                  <c:v>1406.2035753425605</c:v>
                </c:pt>
                <c:pt idx="520">
                  <c:v>1407.4995786941179</c:v>
                </c:pt>
                <c:pt idx="521">
                  <c:v>1408.6963039958457</c:v>
                </c:pt>
                <c:pt idx="522">
                  <c:v>1409.7938551600746</c:v>
                </c:pt>
                <c:pt idx="523">
                  <c:v>1410.7923329171692</c:v>
                </c:pt>
                <c:pt idx="524">
                  <c:v>1411.6918350220117</c:v>
                </c:pt>
                <c:pt idx="525">
                  <c:v>1412.4924564692737</c:v>
                </c:pt>
                <c:pt idx="526">
                  <c:v>1413.1942897173014</c:v>
                </c:pt>
                <c:pt idx="527">
                  <c:v>1413.7974249203003</c:v>
                </c:pt>
                <c:pt idx="528">
                  <c:v>1414.3019501683527</c:v>
                </c:pt>
                <c:pt idx="529">
                  <c:v>1414.7079517346494</c:v>
                </c:pt>
                <c:pt idx="530">
                  <c:v>1415.0155143291545</c:v>
                </c:pt>
                <c:pt idx="531">
                  <c:v>1415.2247213577828</c:v>
                </c:pt>
                <c:pt idx="532">
                  <c:v>1415.3356551860206</c:v>
                </c:pt>
                <c:pt idx="533">
                  <c:v>1415.348397405807</c:v>
                </c:pt>
                <c:pt idx="534">
                  <c:v>1415.2630291043829</c:v>
                </c:pt>
                <c:pt idx="535">
                  <c:v>1415.0796311337544</c:v>
                </c:pt>
                <c:pt idx="536">
                  <c:v>1414.79828437936</c:v>
                </c:pt>
                <c:pt idx="537">
                  <c:v>1414.4190700265283</c:v>
                </c:pt>
                <c:pt idx="538">
                  <c:v>1413.9420698233337</c:v>
                </c:pt>
                <c:pt idx="539">
                  <c:v>1413.3673663385055</c:v>
                </c:pt>
                <c:pt idx="540">
                  <c:v>1412.6950432131325</c:v>
                </c:pt>
                <c:pt idx="541">
                  <c:v>1411.9251854050124</c:v>
                </c:pt>
                <c:pt idx="542">
                  <c:v>1411.0578794246198</c:v>
                </c:pt>
                <c:pt idx="543">
                  <c:v>1410.0932135618166</c:v>
                </c:pt>
                <c:pt idx="544">
                  <c:v>1409.0312781025725</c:v>
                </c:pt>
                <c:pt idx="545">
                  <c:v>1407.8721655351285</c:v>
                </c:pt>
                <c:pt idx="546">
                  <c:v>1406.6159707451848</c:v>
                </c:pt>
                <c:pt idx="547">
                  <c:v>1405.2627911998459</c:v>
                </c:pt>
                <c:pt idx="548">
                  <c:v>1403.8127271201965</c:v>
                </c:pt>
                <c:pt idx="549">
                  <c:v>1402.2658816425028</c:v>
                </c:pt>
                <c:pt idx="550">
                  <c:v>1400.6223609681524</c:v>
                </c:pt>
                <c:pt idx="551">
                  <c:v>1398.8822745025386</c:v>
                </c:pt>
                <c:pt idx="552">
                  <c:v>1397.0457349831736</c:v>
                </c:pt>
                <c:pt idx="553">
                  <c:v>1395.1128585973854</c:v>
                </c:pt>
                <c:pt idx="554">
                  <c:v>1393.0837650899975</c:v>
                </c:pt>
                <c:pt idx="555">
                  <c:v>1390.958577861433</c:v>
                </c:pt>
                <c:pt idx="556">
                  <c:v>1388.7374240567015</c:v>
                </c:pt>
                <c:pt idx="557">
                  <c:v>1386.4204346457504</c:v>
                </c:pt>
                <c:pt idx="558">
                  <c:v>1384.0077444956607</c:v>
                </c:pt>
                <c:pt idx="559">
                  <c:v>1381.4994924351638</c:v>
                </c:pt>
                <c:pt idx="560">
                  <c:v>1378.8958213119552</c:v>
                </c:pt>
                <c:pt idx="561">
                  <c:v>1376.1968780432574</c:v>
                </c:pt>
                <c:pt idx="562">
                  <c:v>1373.4028136600755</c:v>
                </c:pt>
                <c:pt idx="563">
                  <c:v>1370.5137833455644</c:v>
                </c:pt>
                <c:pt idx="564">
                  <c:v>1367.5299464679067</c:v>
                </c:pt>
                <c:pt idx="565">
                  <c:v>1364.4514666080793</c:v>
                </c:pt>
                <c:pt idx="566">
                  <c:v>1361.2785115828617</c:v>
                </c:pt>
                <c:pt idx="567">
                  <c:v>1358.0112534634175</c:v>
                </c:pt>
                <c:pt idx="568">
                  <c:v>1354.6498685897573</c:v>
                </c:pt>
                <c:pt idx="569">
                  <c:v>1351.1945375813716</c:v>
                </c:pt>
                <c:pt idx="570">
                  <c:v>1347.6454453442984</c:v>
                </c:pt>
                <c:pt idx="571">
                  <c:v>1344.0027810748716</c:v>
                </c:pt>
                <c:pt idx="572">
                  <c:v>1340.2667382603793</c:v>
                </c:pt>
                <c:pt idx="573">
                  <c:v>1336.4375146768405</c:v>
                </c:pt>
                <c:pt idx="574">
                  <c:v>1332.5153123840939</c:v>
                </c:pt>
                <c:pt idx="575">
                  <c:v>1328.5003377183778</c:v>
                </c:pt>
                <c:pt idx="576">
                  <c:v>1324.3928012825629</c:v>
                </c:pt>
                <c:pt idx="577">
                  <c:v>1320.1929179341921</c:v>
                </c:pt>
                <c:pt idx="578">
                  <c:v>1315.9009067714633</c:v>
                </c:pt>
                <c:pt idx="579">
                  <c:v>1311.5169911172827</c:v>
                </c:pt>
                <c:pt idx="580">
                  <c:v>1307.0413985015095</c:v>
                </c:pt>
                <c:pt idx="581">
                  <c:v>1302.4743606414961</c:v>
                </c:pt>
                <c:pt idx="582">
                  <c:v>1297.816113421025</c:v>
                </c:pt>
                <c:pt idx="583">
                  <c:v>1293.0668968677367</c:v>
                </c:pt>
                <c:pt idx="584">
                  <c:v>1288.226955129129</c:v>
                </c:pt>
                <c:pt idx="585">
                  <c:v>1283.2965364472102</c:v>
                </c:pt>
                <c:pt idx="586">
                  <c:v>1278.2758931318758</c:v>
                </c:pt>
                <c:pt idx="587">
                  <c:v>1273.1652815330781</c:v>
                </c:pt>
                <c:pt idx="588">
                  <c:v>1267.9649620118494</c:v>
                </c:pt>
                <c:pt idx="589">
                  <c:v>1262.6751989102379</c:v>
                </c:pt>
                <c:pt idx="590">
                  <c:v>1257.2962605202094</c:v>
                </c:pt>
                <c:pt idx="591">
                  <c:v>1251.8284190515658</c:v>
                </c:pt>
                <c:pt idx="592">
                  <c:v>1246.271950598926</c:v>
                </c:pt>
                <c:pt idx="593">
                  <c:v>1240.6271351078153</c:v>
                </c:pt>
                <c:pt idx="594">
                  <c:v>1234.8942563399028</c:v>
                </c:pt>
                <c:pt idx="595">
                  <c:v>1229.0736018374259</c:v>
                </c:pt>
                <c:pt idx="596">
                  <c:v>1223.1654628868387</c:v>
                </c:pt>
                <c:pt idx="597">
                  <c:v>1217.1701344817182</c:v>
                </c:pt>
                <c:pt idx="598">
                  <c:v>1211.0879152849611</c:v>
                </c:pt>
                <c:pt idx="599">
                  <c:v>1204.9191075903029</c:v>
                </c:pt>
                <c:pt idx="600">
                  <c:v>1198.6640172831862</c:v>
                </c:pt>
                <c:pt idx="601">
                  <c:v>1192.3229538010082</c:v>
                </c:pt>
                <c:pt idx="602">
                  <c:v>1185.896230092774</c:v>
                </c:pt>
                <c:pt idx="603">
                  <c:v>1179.3841625781783</c:v>
                </c:pt>
                <c:pt idx="604">
                  <c:v>1172.7870711061448</c:v>
                </c:pt>
                <c:pt idx="605">
                  <c:v>1166.105278912841</c:v>
                </c:pt>
                <c:pt idx="606">
                  <c:v>1159.3391125791945</c:v>
                </c:pt>
                <c:pt idx="607">
                  <c:v>1152.4889019879322</c:v>
                </c:pt>
                <c:pt idx="608">
                  <c:v>1145.5549802801609</c:v>
                </c:pt>
                <c:pt idx="609">
                  <c:v>1138.5376838115119</c:v>
                </c:pt>
                <c:pt idx="610">
                  <c:v>1131.4373521078687</c:v>
                </c:pt>
                <c:pt idx="611">
                  <c:v>1124.2543278206954</c:v>
                </c:pt>
                <c:pt idx="612">
                  <c:v>1116.988956681985</c:v>
                </c:pt>
                <c:pt idx="613">
                  <c:v>1109.6415874588467</c:v>
                </c:pt>
                <c:pt idx="614">
                  <c:v>1102.2125719077476</c:v>
                </c:pt>
                <c:pt idx="615">
                  <c:v>1094.7022647284271</c:v>
                </c:pt>
                <c:pt idx="616">
                  <c:v>1087.1110235174997</c:v>
                </c:pt>
                <c:pt idx="617">
                  <c:v>1079.439208721765</c:v>
                </c:pt>
                <c:pt idx="618">
                  <c:v>1071.6871835912366</c:v>
                </c:pt>
                <c:pt idx="619">
                  <c:v>1063.8553141319092</c:v>
                </c:pt>
                <c:pt idx="620">
                  <c:v>1055.9439690582776</c:v>
                </c:pt>
                <c:pt idx="621">
                  <c:v>1047.9535197456235</c:v>
                </c:pt>
                <c:pt idx="622">
                  <c:v>1039.8843401820825</c:v>
                </c:pt>
                <c:pt idx="623">
                  <c:v>1031.7368069205102</c:v>
                </c:pt>
                <c:pt idx="624">
                  <c:v>1023.5112990301571</c:v>
                </c:pt>
                <c:pt idx="625">
                  <c:v>1015.2081980481699</c:v>
                </c:pt>
                <c:pt idx="626">
                  <c:v>1006.8278879309302</c:v>
                </c:pt>
                <c:pt idx="627">
                  <c:v>998.37075500524679</c:v>
                </c:pt>
                <c:pt idx="628">
                  <c:v>989.83718791941396</c:v>
                </c:pt>
                <c:pt idx="629">
                  <c:v>981.22757759414822</c:v>
                </c:pt>
                <c:pt idx="630">
                  <c:v>972.54231717341816</c:v>
                </c:pt>
                <c:pt idx="631">
                  <c:v>963.78180197517929</c:v>
                </c:pt>
                <c:pt idx="632">
                  <c:v>954.94642944202712</c:v>
                </c:pt>
                <c:pt idx="633">
                  <c:v>946.03659909178134</c:v>
                </c:pt>
                <c:pt idx="634">
                  <c:v>937.05271246801237</c:v>
                </c:pt>
                <c:pt idx="635">
                  <c:v>927.99517309052442</c:v>
                </c:pt>
                <c:pt idx="636">
                  <c:v>918.86438640580525</c:v>
                </c:pt>
                <c:pt idx="637">
                  <c:v>909.66075973745649</c:v>
                </c:pt>
                <c:pt idx="638">
                  <c:v>900.38470223661477</c:v>
                </c:pt>
                <c:pt idx="639">
                  <c:v>891.03662483237679</c:v>
                </c:pt>
                <c:pt idx="640">
                  <c:v>881.61694018223841</c:v>
                </c:pt>
                <c:pt idx="641">
                  <c:v>872.12606262256077</c:v>
                </c:pt>
                <c:pt idx="642">
                  <c:v>862.56440811907339</c:v>
                </c:pt>
                <c:pt idx="643">
                  <c:v>852.93239421742624</c:v>
                </c:pt>
                <c:pt idx="644">
                  <c:v>843.23043999380116</c:v>
                </c:pt>
                <c:pt idx="645">
                  <c:v>833.45896600559445</c:v>
                </c:pt>
                <c:pt idx="646">
                  <c:v>823.61839424217999</c:v>
                </c:pt>
                <c:pt idx="647">
                  <c:v>813.70914807576469</c:v>
                </c:pt>
                <c:pt idx="648">
                  <c:v>803.73165221234592</c:v>
                </c:pt>
                <c:pt idx="649">
                  <c:v>793.68633264278196</c:v>
                </c:pt>
                <c:pt idx="650">
                  <c:v>783.57361659398464</c:v>
                </c:pt>
                <c:pt idx="651">
                  <c:v>773.39393248024521</c:v>
                </c:pt>
                <c:pt idx="652">
                  <c:v>763.14770985470261</c:v>
                </c:pt>
                <c:pt idx="653">
                  <c:v>752.83537936096423</c:v>
                </c:pt>
                <c:pt idx="654">
                  <c:v>742.45737268488847</c:v>
                </c:pt>
                <c:pt idx="655">
                  <c:v>732.01412250653902</c:v>
                </c:pt>
                <c:pt idx="656">
                  <c:v>721.50606245231938</c:v>
                </c:pt>
                <c:pt idx="657">
                  <c:v>710.9336270472977</c:v>
                </c:pt>
                <c:pt idx="658">
                  <c:v>700.29725166773028</c:v>
                </c:pt>
                <c:pt idx="659">
                  <c:v>689.59737249379248</c:v>
                </c:pt>
                <c:pt idx="660">
                  <c:v>678.83442646252684</c:v>
                </c:pt>
                <c:pt idx="661">
                  <c:v>668.00885122101545</c:v>
                </c:pt>
                <c:pt idx="662">
                  <c:v>657.12108507978587</c:v>
                </c:pt>
                <c:pt idx="663">
                  <c:v>646.17156696645918</c:v>
                </c:pt>
                <c:pt idx="664">
                  <c:v>635.16073637964701</c:v>
                </c:pt>
                <c:pt idx="665">
                  <c:v>624.08903334310719</c:v>
                </c:pt>
                <c:pt idx="666">
                  <c:v>612.95689836016402</c:v>
                </c:pt>
                <c:pt idx="667">
                  <c:v>601.7647723684023</c:v>
                </c:pt>
                <c:pt idx="668">
                  <c:v>590.51309669464183</c:v>
                </c:pt>
                <c:pt idx="669">
                  <c:v>579.20231301019999</c:v>
                </c:pt>
                <c:pt idx="670">
                  <c:v>567.83286328644908</c:v>
                </c:pt>
                <c:pt idx="671">
                  <c:v>556.40518975067675</c:v>
                </c:pt>
                <c:pt idx="672">
                  <c:v>544.91973484225434</c:v>
                </c:pt>
                <c:pt idx="673">
                  <c:v>533.37694116912189</c:v>
                </c:pt>
                <c:pt idx="674">
                  <c:v>521.777251464595</c:v>
                </c:pt>
                <c:pt idx="675">
                  <c:v>510.12110854450066</c:v>
                </c:pt>
                <c:pt idx="676">
                  <c:v>498.40895526464777</c:v>
                </c:pt>
                <c:pt idx="677">
                  <c:v>486.64123447863886</c:v>
                </c:pt>
                <c:pt idx="678">
                  <c:v>474.81838899602866</c:v>
                </c:pt>
                <c:pt idx="679">
                  <c:v>462.94086154083533</c:v>
                </c:pt>
                <c:pt idx="680">
                  <c:v>451.00909471041007</c:v>
                </c:pt>
                <c:pt idx="681">
                  <c:v>439.0235309346703</c:v>
                </c:pt>
                <c:pt idx="682">
                  <c:v>426.98461243570188</c:v>
                </c:pt>
                <c:pt idx="683">
                  <c:v>414.89278118773547</c:v>
                </c:pt>
                <c:pt idx="684">
                  <c:v>402.74847887750173</c:v>
                </c:pt>
                <c:pt idx="685">
                  <c:v>390.55214686497084</c:v>
                </c:pt>
                <c:pt idx="686">
                  <c:v>378.30422614447986</c:v>
                </c:pt>
                <c:pt idx="687">
                  <c:v>366.00515730625358</c:v>
                </c:pt>
                <c:pt idx="688">
                  <c:v>353.65538049832236</c:v>
                </c:pt>
                <c:pt idx="689">
                  <c:v>341.25533538884144</c:v>
                </c:pt>
                <c:pt idx="690">
                  <c:v>328.80546112881586</c:v>
                </c:pt>
                <c:pt idx="691">
                  <c:v>316.30619631523427</c:v>
                </c:pt>
                <c:pt idx="692">
                  <c:v>303.75797895461619</c:v>
                </c:pt>
                <c:pt idx="693">
                  <c:v>291.16124642697525</c:v>
                </c:pt>
                <c:pt idx="694">
                  <c:v>278.51643545020278</c:v>
                </c:pt>
                <c:pt idx="695">
                  <c:v>265.82398204487407</c:v>
                </c:pt>
                <c:pt idx="696">
                  <c:v>253.08432149948104</c:v>
                </c:pt>
                <c:pt idx="697">
                  <c:v>240.29788833609382</c:v>
                </c:pt>
                <c:pt idx="698">
                  <c:v>227.46511627645418</c:v>
                </c:pt>
                <c:pt idx="699">
                  <c:v>214.58643820850341</c:v>
                </c:pt>
                <c:pt idx="700">
                  <c:v>201.662286153347</c:v>
                </c:pt>
                <c:pt idx="701">
                  <c:v>188.69309123265856</c:v>
                </c:pt>
                <c:pt idx="702">
                  <c:v>175.67928363652499</c:v>
                </c:pt>
                <c:pt idx="703">
                  <c:v>162.62129259173506</c:v>
                </c:pt>
                <c:pt idx="704">
                  <c:v>149.51954633051318</c:v>
                </c:pt>
                <c:pt idx="705">
                  <c:v>136.37447205970003</c:v>
                </c:pt>
                <c:pt idx="706">
                  <c:v>123.18649593038171</c:v>
                </c:pt>
                <c:pt idx="707">
                  <c:v>109.9560430079688</c:v>
                </c:pt>
                <c:pt idx="708">
                  <c:v>96.683537242726644</c:v>
                </c:pt>
                <c:pt idx="709">
                  <c:v>83.369401440757926</c:v>
                </c:pt>
                <c:pt idx="710">
                  <c:v>70.014057235438656</c:v>
                </c:pt>
                <c:pt idx="711">
                  <c:v>56.617925059308376</c:v>
                </c:pt>
                <c:pt idx="712">
                  <c:v>43.181424116415315</c:v>
                </c:pt>
                <c:pt idx="713">
                  <c:v>29.704972355117114</c:v>
                </c:pt>
                <c:pt idx="714">
                  <c:v>16.18898644133759</c:v>
                </c:pt>
                <c:pt idx="715">
                  <c:v>2.6338817322798747</c:v>
                </c:pt>
                <c:pt idx="716">
                  <c:v>-10.95992774940386</c:v>
                </c:pt>
                <c:pt idx="717">
                  <c:v>-10.973540826977674</c:v>
                </c:pt>
                <c:pt idx="718">
                  <c:v>-10.987153942637404</c:v>
                </c:pt>
                <c:pt idx="719">
                  <c:v>-11.000767096382642</c:v>
                </c:pt>
                <c:pt idx="720">
                  <c:v>-11.014380288212978</c:v>
                </c:pt>
                <c:pt idx="721">
                  <c:v>-11.027993518128003</c:v>
                </c:pt>
                <c:pt idx="722">
                  <c:v>-11.041606786127307</c:v>
                </c:pt>
                <c:pt idx="723">
                  <c:v>-11.05522009221048</c:v>
                </c:pt>
                <c:pt idx="724">
                  <c:v>-11.068833436377112</c:v>
                </c:pt>
                <c:pt idx="725">
                  <c:v>-11.082446818626796</c:v>
                </c:pt>
                <c:pt idx="726">
                  <c:v>-11.096060238959121</c:v>
                </c:pt>
                <c:pt idx="727">
                  <c:v>-11.109673697373676</c:v>
                </c:pt>
                <c:pt idx="728">
                  <c:v>-11.123287193870054</c:v>
                </c:pt>
                <c:pt idx="729">
                  <c:v>-11.136900728447845</c:v>
                </c:pt>
                <c:pt idx="730">
                  <c:v>-11.150514301106639</c:v>
                </c:pt>
                <c:pt idx="731">
                  <c:v>-11.164127911846027</c:v>
                </c:pt>
                <c:pt idx="732">
                  <c:v>-11.177741560665599</c:v>
                </c:pt>
                <c:pt idx="733">
                  <c:v>-11.191355247564946</c:v>
                </c:pt>
                <c:pt idx="734">
                  <c:v>-11.204968972543657</c:v>
                </c:pt>
                <c:pt idx="735">
                  <c:v>-11.218582735601325</c:v>
                </c:pt>
                <c:pt idx="736">
                  <c:v>-11.23219653673754</c:v>
                </c:pt>
                <c:pt idx="737">
                  <c:v>-11.245810375951891</c:v>
                </c:pt>
                <c:pt idx="738">
                  <c:v>-11.259424253243969</c:v>
                </c:pt>
                <c:pt idx="739">
                  <c:v>-11.273038168613365</c:v>
                </c:pt>
                <c:pt idx="740">
                  <c:v>-11.286652122059669</c:v>
                </c:pt>
                <c:pt idx="741">
                  <c:v>-11.300266113582474</c:v>
                </c:pt>
                <c:pt idx="742">
                  <c:v>-11.313880143181368</c:v>
                </c:pt>
                <c:pt idx="743">
                  <c:v>-11.327494210855942</c:v>
                </c:pt>
                <c:pt idx="744">
                  <c:v>-11.341108316605787</c:v>
                </c:pt>
                <c:pt idx="745">
                  <c:v>-11.354722460430493</c:v>
                </c:pt>
                <c:pt idx="746">
                  <c:v>-11.36833664232965</c:v>
                </c:pt>
                <c:pt idx="747">
                  <c:v>-11.381950862302851</c:v>
                </c:pt>
                <c:pt idx="748">
                  <c:v>-11.395565120349683</c:v>
                </c:pt>
                <c:pt idx="749">
                  <c:v>-11.40917941646974</c:v>
                </c:pt>
                <c:pt idx="750">
                  <c:v>-11.422793750662612</c:v>
                </c:pt>
                <c:pt idx="751">
                  <c:v>-11.436408122927887</c:v>
                </c:pt>
                <c:pt idx="752">
                  <c:v>-11.450022533265157</c:v>
                </c:pt>
                <c:pt idx="753">
                  <c:v>-11.463636981674012</c:v>
                </c:pt>
                <c:pt idx="754">
                  <c:v>-11.477251468154044</c:v>
                </c:pt>
                <c:pt idx="755">
                  <c:v>-11.490865992704844</c:v>
                </c:pt>
                <c:pt idx="756">
                  <c:v>-11.504480555326001</c:v>
                </c:pt>
                <c:pt idx="757">
                  <c:v>-11.518095156017106</c:v>
                </c:pt>
                <c:pt idx="758">
                  <c:v>-11.531709794777749</c:v>
                </c:pt>
                <c:pt idx="759">
                  <c:v>-11.545324471607522</c:v>
                </c:pt>
                <c:pt idx="760">
                  <c:v>-11.558939186506015</c:v>
                </c:pt>
                <c:pt idx="761">
                  <c:v>-11.572553939472817</c:v>
                </c:pt>
                <c:pt idx="762">
                  <c:v>-11.58616873050752</c:v>
                </c:pt>
                <c:pt idx="763">
                  <c:v>-11.599783559609715</c:v>
                </c:pt>
                <c:pt idx="764">
                  <c:v>-11.613398426778993</c:v>
                </c:pt>
                <c:pt idx="765">
                  <c:v>-11.627013332014942</c:v>
                </c:pt>
                <c:pt idx="766">
                  <c:v>-11.640628275317153</c:v>
                </c:pt>
                <c:pt idx="767">
                  <c:v>-11.65424325668522</c:v>
                </c:pt>
                <c:pt idx="768">
                  <c:v>-11.66785827611873</c:v>
                </c:pt>
                <c:pt idx="769">
                  <c:v>-11.681473333617276</c:v>
                </c:pt>
                <c:pt idx="770">
                  <c:v>-11.695088429180448</c:v>
                </c:pt>
                <c:pt idx="771">
                  <c:v>-11.708703562807834</c:v>
                </c:pt>
                <c:pt idx="772">
                  <c:v>-11.722318734499028</c:v>
                </c:pt>
                <c:pt idx="773">
                  <c:v>-11.735933944253619</c:v>
                </c:pt>
                <c:pt idx="774">
                  <c:v>-11.749549192071198</c:v>
                </c:pt>
                <c:pt idx="775">
                  <c:v>-11.763164477951355</c:v>
                </c:pt>
                <c:pt idx="776">
                  <c:v>-11.776779801893682</c:v>
                </c:pt>
                <c:pt idx="777">
                  <c:v>-11.790395163897767</c:v>
                </c:pt>
                <c:pt idx="778">
                  <c:v>-11.804010563963203</c:v>
                </c:pt>
                <c:pt idx="779">
                  <c:v>-11.817626002089581</c:v>
                </c:pt>
                <c:pt idx="780">
                  <c:v>-11.831241478276489</c:v>
                </c:pt>
                <c:pt idx="781">
                  <c:v>-11.844856992523519</c:v>
                </c:pt>
                <c:pt idx="782">
                  <c:v>-11.858472544830262</c:v>
                </c:pt>
                <c:pt idx="783">
                  <c:v>-11.872088135196307</c:v>
                </c:pt>
                <c:pt idx="784">
                  <c:v>-11.885703763621247</c:v>
                </c:pt>
                <c:pt idx="785">
                  <c:v>-11.899319430104672</c:v>
                </c:pt>
                <c:pt idx="786">
                  <c:v>-11.912935134646171</c:v>
                </c:pt>
                <c:pt idx="787">
                  <c:v>-11.926550877245335</c:v>
                </c:pt>
                <c:pt idx="788">
                  <c:v>-11.940166657901756</c:v>
                </c:pt>
                <c:pt idx="789">
                  <c:v>-11.953782476615023</c:v>
                </c:pt>
                <c:pt idx="790">
                  <c:v>-11.967398333384729</c:v>
                </c:pt>
                <c:pt idx="791">
                  <c:v>-11.981014228210462</c:v>
                </c:pt>
                <c:pt idx="792">
                  <c:v>-11.994630161091814</c:v>
                </c:pt>
                <c:pt idx="793">
                  <c:v>-12.008246132028376</c:v>
                </c:pt>
                <c:pt idx="794">
                  <c:v>-12.021862141019737</c:v>
                </c:pt>
                <c:pt idx="795">
                  <c:v>-12.03547818806549</c:v>
                </c:pt>
                <c:pt idx="796">
                  <c:v>-12.049094273165222</c:v>
                </c:pt>
                <c:pt idx="797">
                  <c:v>-12.062710396318527</c:v>
                </c:pt>
                <c:pt idx="798">
                  <c:v>-12.076326557524995</c:v>
                </c:pt>
                <c:pt idx="799">
                  <c:v>-12.089942756784216</c:v>
                </c:pt>
                <c:pt idx="800">
                  <c:v>-12.103558994095781</c:v>
                </c:pt>
                <c:pt idx="801">
                  <c:v>-12.117175269459279</c:v>
                </c:pt>
                <c:pt idx="802">
                  <c:v>-12.130791582874302</c:v>
                </c:pt>
                <c:pt idx="803">
                  <c:v>-12.144407934340441</c:v>
                </c:pt>
                <c:pt idx="804">
                  <c:v>-12.158024323857285</c:v>
                </c:pt>
                <c:pt idx="805">
                  <c:v>-12.171640751424427</c:v>
                </c:pt>
                <c:pt idx="806">
                  <c:v>-12.185257217041457</c:v>
                </c:pt>
                <c:pt idx="807">
                  <c:v>-12.198873720707965</c:v>
                </c:pt>
                <c:pt idx="808">
                  <c:v>-12.212490262423541</c:v>
                </c:pt>
                <c:pt idx="809">
                  <c:v>-12.226106842187777</c:v>
                </c:pt>
                <c:pt idx="810">
                  <c:v>-12.239723460000263</c:v>
                </c:pt>
                <c:pt idx="811">
                  <c:v>-12.25334011586059</c:v>
                </c:pt>
                <c:pt idx="812">
                  <c:v>-12.266956809768349</c:v>
                </c:pt>
                <c:pt idx="813">
                  <c:v>-12.280573541723129</c:v>
                </c:pt>
                <c:pt idx="814">
                  <c:v>-12.294190311724522</c:v>
                </c:pt>
                <c:pt idx="815">
                  <c:v>-12.307807119772118</c:v>
                </c:pt>
                <c:pt idx="816">
                  <c:v>-12.321423965865508</c:v>
                </c:pt>
                <c:pt idx="817">
                  <c:v>-12.335040850004281</c:v>
                </c:pt>
                <c:pt idx="818">
                  <c:v>-12.34865777218803</c:v>
                </c:pt>
                <c:pt idx="819">
                  <c:v>-12.362274732416346</c:v>
                </c:pt>
                <c:pt idx="820">
                  <c:v>-12.375891730688817</c:v>
                </c:pt>
                <c:pt idx="821">
                  <c:v>-12.389508767005037</c:v>
                </c:pt>
                <c:pt idx="822">
                  <c:v>-12.403125841364593</c:v>
                </c:pt>
                <c:pt idx="823">
                  <c:v>-12.416742953767079</c:v>
                </c:pt>
                <c:pt idx="824">
                  <c:v>-12.430360104212083</c:v>
                </c:pt>
                <c:pt idx="825">
                  <c:v>-12.443977292699197</c:v>
                </c:pt>
                <c:pt idx="826">
                  <c:v>-12.457594519228012</c:v>
                </c:pt>
                <c:pt idx="827">
                  <c:v>-12.471211783798118</c:v>
                </c:pt>
                <c:pt idx="828">
                  <c:v>-12.484829086409105</c:v>
                </c:pt>
                <c:pt idx="829">
                  <c:v>-12.498446427060564</c:v>
                </c:pt>
                <c:pt idx="830">
                  <c:v>-12.512063805752087</c:v>
                </c:pt>
                <c:pt idx="831">
                  <c:v>-12.525681222483264</c:v>
                </c:pt>
                <c:pt idx="832">
                  <c:v>-12.539298677253685</c:v>
                </c:pt>
                <c:pt idx="833">
                  <c:v>-12.552916170062941</c:v>
                </c:pt>
                <c:pt idx="834">
                  <c:v>-12.566533700910623</c:v>
                </c:pt>
                <c:pt idx="835">
                  <c:v>-12.580151269796323</c:v>
                </c:pt>
                <c:pt idx="836">
                  <c:v>-12.593768876719629</c:v>
                </c:pt>
                <c:pt idx="837">
                  <c:v>-12.607386521680134</c:v>
                </c:pt>
                <c:pt idx="838">
                  <c:v>-12.621004204677426</c:v>
                </c:pt>
                <c:pt idx="839">
                  <c:v>-12.634621925711098</c:v>
                </c:pt>
                <c:pt idx="840">
                  <c:v>-12.648239684780739</c:v>
                </c:pt>
                <c:pt idx="841">
                  <c:v>-12.66185748188594</c:v>
                </c:pt>
                <c:pt idx="842">
                  <c:v>-12.675475317026294</c:v>
                </c:pt>
                <c:pt idx="843">
                  <c:v>-12.689093190201389</c:v>
                </c:pt>
                <c:pt idx="844">
                  <c:v>-12.702711101410816</c:v>
                </c:pt>
                <c:pt idx="845">
                  <c:v>-12.716329050654167</c:v>
                </c:pt>
                <c:pt idx="846">
                  <c:v>-12.729947037931032</c:v>
                </c:pt>
                <c:pt idx="847">
                  <c:v>-12.743565063241002</c:v>
                </c:pt>
                <c:pt idx="848">
                  <c:v>-12.757183126583667</c:v>
                </c:pt>
                <c:pt idx="849">
                  <c:v>-12.77080122795862</c:v>
                </c:pt>
                <c:pt idx="850">
                  <c:v>-12.784419367365448</c:v>
                </c:pt>
                <c:pt idx="851">
                  <c:v>-12.798037544803744</c:v>
                </c:pt>
                <c:pt idx="852">
                  <c:v>-12.811655760273098</c:v>
                </c:pt>
                <c:pt idx="853">
                  <c:v>-12.8252740137731</c:v>
                </c:pt>
                <c:pt idx="854">
                  <c:v>-12.838892305303343</c:v>
                </c:pt>
                <c:pt idx="855">
                  <c:v>-12.852510634863416</c:v>
                </c:pt>
                <c:pt idx="856">
                  <c:v>-12.86612900245291</c:v>
                </c:pt>
                <c:pt idx="857">
                  <c:v>-12.879747408071415</c:v>
                </c:pt>
                <c:pt idx="858">
                  <c:v>-12.893365851718523</c:v>
                </c:pt>
                <c:pt idx="859">
                  <c:v>-12.906984333393824</c:v>
                </c:pt>
                <c:pt idx="860">
                  <c:v>-12.920602853096909</c:v>
                </c:pt>
                <c:pt idx="861">
                  <c:v>-12.934221410827368</c:v>
                </c:pt>
                <c:pt idx="862">
                  <c:v>-12.947840006584793</c:v>
                </c:pt>
                <c:pt idx="863">
                  <c:v>-12.961458640368773</c:v>
                </c:pt>
                <c:pt idx="864">
                  <c:v>-12.9750773121789</c:v>
                </c:pt>
                <c:pt idx="865">
                  <c:v>-12.988696022014764</c:v>
                </c:pt>
                <c:pt idx="866">
                  <c:v>-13.002314769875957</c:v>
                </c:pt>
                <c:pt idx="867">
                  <c:v>-13.015933555762068</c:v>
                </c:pt>
                <c:pt idx="868">
                  <c:v>-13.029552379672689</c:v>
                </c:pt>
                <c:pt idx="869">
                  <c:v>-13.043171241607411</c:v>
                </c:pt>
                <c:pt idx="870">
                  <c:v>-13.056790141565823</c:v>
                </c:pt>
                <c:pt idx="871">
                  <c:v>-13.070409079547517</c:v>
                </c:pt>
                <c:pt idx="872">
                  <c:v>-13.084028055552084</c:v>
                </c:pt>
                <c:pt idx="873">
                  <c:v>-13.097647069579114</c:v>
                </c:pt>
                <c:pt idx="874">
                  <c:v>-13.111266121628198</c:v>
                </c:pt>
                <c:pt idx="875">
                  <c:v>-13.124885211698926</c:v>
                </c:pt>
                <c:pt idx="876">
                  <c:v>-13.13850433979089</c:v>
                </c:pt>
                <c:pt idx="877">
                  <c:v>-13.152123505903679</c:v>
                </c:pt>
                <c:pt idx="878">
                  <c:v>-13.165742710036886</c:v>
                </c:pt>
                <c:pt idx="879">
                  <c:v>-13.179361952190101</c:v>
                </c:pt>
                <c:pt idx="880">
                  <c:v>-13.192981232362914</c:v>
                </c:pt>
                <c:pt idx="881">
                  <c:v>-13.206600550554915</c:v>
                </c:pt>
                <c:pt idx="882">
                  <c:v>-13.220219906765697</c:v>
                </c:pt>
                <c:pt idx="883">
                  <c:v>-13.23383930099485</c:v>
                </c:pt>
                <c:pt idx="884">
                  <c:v>-13.247458733241963</c:v>
                </c:pt>
                <c:pt idx="885">
                  <c:v>-13.261078203506628</c:v>
                </c:pt>
                <c:pt idx="886">
                  <c:v>-13.274697711788436</c:v>
                </c:pt>
                <c:pt idx="887">
                  <c:v>-13.288317258086977</c:v>
                </c:pt>
                <c:pt idx="888">
                  <c:v>-13.301936842401842</c:v>
                </c:pt>
                <c:pt idx="889">
                  <c:v>-13.315556464732623</c:v>
                </c:pt>
                <c:pt idx="890">
                  <c:v>-13.329176125078909</c:v>
                </c:pt>
                <c:pt idx="891">
                  <c:v>-13.342795823440293</c:v>
                </c:pt>
                <c:pt idx="892">
                  <c:v>-13.356415559816364</c:v>
                </c:pt>
                <c:pt idx="893">
                  <c:v>-13.370035334206714</c:v>
                </c:pt>
                <c:pt idx="894">
                  <c:v>-13.383655146610931</c:v>
                </c:pt>
                <c:pt idx="895">
                  <c:v>-13.397274997028608</c:v>
                </c:pt>
                <c:pt idx="896">
                  <c:v>-13.410894885459335</c:v>
                </c:pt>
                <c:pt idx="897">
                  <c:v>-13.424514811902704</c:v>
                </c:pt>
                <c:pt idx="898">
                  <c:v>-13.438134776358304</c:v>
                </c:pt>
                <c:pt idx="899">
                  <c:v>-13.451754778825727</c:v>
                </c:pt>
                <c:pt idx="900">
                  <c:v>-13.465374819304563</c:v>
                </c:pt>
                <c:pt idx="901">
                  <c:v>-13.478994897794403</c:v>
                </c:pt>
                <c:pt idx="902">
                  <c:v>-13.492615014294838</c:v>
                </c:pt>
                <c:pt idx="903">
                  <c:v>-13.506235168805459</c:v>
                </c:pt>
                <c:pt idx="904">
                  <c:v>-13.519855361325856</c:v>
                </c:pt>
                <c:pt idx="905">
                  <c:v>-13.533475591855622</c:v>
                </c:pt>
                <c:pt idx="906">
                  <c:v>-13.547095860394345</c:v>
                </c:pt>
                <c:pt idx="907">
                  <c:v>-13.560716166941617</c:v>
                </c:pt>
                <c:pt idx="908">
                  <c:v>-13.574336511497028</c:v>
                </c:pt>
                <c:pt idx="909">
                  <c:v>-13.58795689406017</c:v>
                </c:pt>
                <c:pt idx="910">
                  <c:v>-13.601577314630633</c:v>
                </c:pt>
                <c:pt idx="911">
                  <c:v>-13.615197773208008</c:v>
                </c:pt>
                <c:pt idx="912">
                  <c:v>-13.628818269791886</c:v>
                </c:pt>
                <c:pt idx="913">
                  <c:v>-13.642438804381856</c:v>
                </c:pt>
                <c:pt idx="914">
                  <c:v>-13.656059376977511</c:v>
                </c:pt>
                <c:pt idx="915">
                  <c:v>-13.669679987578441</c:v>
                </c:pt>
                <c:pt idx="916">
                  <c:v>-13.683300636184237</c:v>
                </c:pt>
                <c:pt idx="917">
                  <c:v>-13.696921322794489</c:v>
                </c:pt>
                <c:pt idx="918">
                  <c:v>-13.71054204740879</c:v>
                </c:pt>
                <c:pt idx="919">
                  <c:v>-13.724162810026728</c:v>
                </c:pt>
                <c:pt idx="920">
                  <c:v>-13.737783610647895</c:v>
                </c:pt>
                <c:pt idx="921">
                  <c:v>-13.751404449271883</c:v>
                </c:pt>
                <c:pt idx="922">
                  <c:v>-13.76502532589828</c:v>
                </c:pt>
                <c:pt idx="923">
                  <c:v>-13.77864624052668</c:v>
                </c:pt>
                <c:pt idx="924">
                  <c:v>-13.79226719315667</c:v>
                </c:pt>
                <c:pt idx="925">
                  <c:v>-13.805888183787845</c:v>
                </c:pt>
                <c:pt idx="926">
                  <c:v>-13.819509212419794</c:v>
                </c:pt>
                <c:pt idx="927">
                  <c:v>-13.833130279052106</c:v>
                </c:pt>
                <c:pt idx="928">
                  <c:v>-13.846751383684374</c:v>
                </c:pt>
                <c:pt idx="929">
                  <c:v>-13.860372526316189</c:v>
                </c:pt>
                <c:pt idx="930">
                  <c:v>-13.87399370694714</c:v>
                </c:pt>
                <c:pt idx="931">
                  <c:v>-13.887614925576818</c:v>
                </c:pt>
                <c:pt idx="932">
                  <c:v>-13.901236182204816</c:v>
                </c:pt>
                <c:pt idx="933">
                  <c:v>-13.914857476830722</c:v>
                </c:pt>
                <c:pt idx="934">
                  <c:v>-13.928478809454129</c:v>
                </c:pt>
                <c:pt idx="935">
                  <c:v>-13.942100180074627</c:v>
                </c:pt>
                <c:pt idx="936">
                  <c:v>-13.955721588691807</c:v>
                </c:pt>
                <c:pt idx="937">
                  <c:v>-13.969343035305259</c:v>
                </c:pt>
                <c:pt idx="938">
                  <c:v>-13.982964519914576</c:v>
                </c:pt>
                <c:pt idx="939">
                  <c:v>-13.996586042519347</c:v>
                </c:pt>
                <c:pt idx="940">
                  <c:v>-14.010207603119163</c:v>
                </c:pt>
                <c:pt idx="941">
                  <c:v>-14.023829201713616</c:v>
                </c:pt>
                <c:pt idx="942">
                  <c:v>-14.037450838302295</c:v>
                </c:pt>
                <c:pt idx="943">
                  <c:v>-14.051072512884792</c:v>
                </c:pt>
                <c:pt idx="944">
                  <c:v>-14.064694225460697</c:v>
                </c:pt>
                <c:pt idx="945">
                  <c:v>-14.078315976029602</c:v>
                </c:pt>
                <c:pt idx="946">
                  <c:v>-14.091937764591096</c:v>
                </c:pt>
                <c:pt idx="947">
                  <c:v>-14.105559591144772</c:v>
                </c:pt>
                <c:pt idx="948">
                  <c:v>-14.119181455690219</c:v>
                </c:pt>
                <c:pt idx="949">
                  <c:v>-14.132803358227029</c:v>
                </c:pt>
                <c:pt idx="950">
                  <c:v>-14.146425298754792</c:v>
                </c:pt>
                <c:pt idx="951">
                  <c:v>-14.160047277273101</c:v>
                </c:pt>
                <c:pt idx="952">
                  <c:v>-14.173669293781543</c:v>
                </c:pt>
                <c:pt idx="953">
                  <c:v>-14.187291348279713</c:v>
                </c:pt>
                <c:pt idx="954">
                  <c:v>-14.200913440767199</c:v>
                </c:pt>
                <c:pt idx="955">
                  <c:v>-14.214535571243593</c:v>
                </c:pt>
                <c:pt idx="956">
                  <c:v>-14.228157739708484</c:v>
                </c:pt>
                <c:pt idx="957">
                  <c:v>-14.241779946161465</c:v>
                </c:pt>
                <c:pt idx="958">
                  <c:v>-14.255402190602126</c:v>
                </c:pt>
                <c:pt idx="959">
                  <c:v>-14.269024473030059</c:v>
                </c:pt>
                <c:pt idx="960">
                  <c:v>-14.282646793444854</c:v>
                </c:pt>
                <c:pt idx="961">
                  <c:v>-14.296269151846102</c:v>
                </c:pt>
                <c:pt idx="962">
                  <c:v>-14.309891548233393</c:v>
                </c:pt>
                <c:pt idx="963">
                  <c:v>-14.323513982606318</c:v>
                </c:pt>
                <c:pt idx="964">
                  <c:v>-14.337136454964469</c:v>
                </c:pt>
                <c:pt idx="965">
                  <c:v>-14.350758965307437</c:v>
                </c:pt>
                <c:pt idx="966">
                  <c:v>-14.364381513634811</c:v>
                </c:pt>
                <c:pt idx="967">
                  <c:v>-14.378004099946184</c:v>
                </c:pt>
                <c:pt idx="968">
                  <c:v>-14.391626724241144</c:v>
                </c:pt>
                <c:pt idx="969">
                  <c:v>-14.405249386519284</c:v>
                </c:pt>
                <c:pt idx="970">
                  <c:v>-14.418872086780194</c:v>
                </c:pt>
                <c:pt idx="971">
                  <c:v>-14.432494825023467</c:v>
                </c:pt>
                <c:pt idx="972">
                  <c:v>-14.446117601248691</c:v>
                </c:pt>
                <c:pt idx="973">
                  <c:v>-14.459740415455459</c:v>
                </c:pt>
                <c:pt idx="974">
                  <c:v>-14.473363267643361</c:v>
                </c:pt>
                <c:pt idx="975">
                  <c:v>-14.486986157811987</c:v>
                </c:pt>
                <c:pt idx="976">
                  <c:v>-14.50060908596093</c:v>
                </c:pt>
                <c:pt idx="977">
                  <c:v>-14.514232052089778</c:v>
                </c:pt>
                <c:pt idx="978">
                  <c:v>-14.527855056198124</c:v>
                </c:pt>
                <c:pt idx="979">
                  <c:v>-14.541478098285559</c:v>
                </c:pt>
                <c:pt idx="980">
                  <c:v>-14.555101178351673</c:v>
                </c:pt>
                <c:pt idx="981">
                  <c:v>-14.568724296396057</c:v>
                </c:pt>
                <c:pt idx="982">
                  <c:v>-14.582347452418302</c:v>
                </c:pt>
                <c:pt idx="983">
                  <c:v>-14.595970646417999</c:v>
                </c:pt>
                <c:pt idx="984">
                  <c:v>-14.609593878394739</c:v>
                </c:pt>
                <c:pt idx="985">
                  <c:v>-14.623217148348111</c:v>
                </c:pt>
                <c:pt idx="986">
                  <c:v>-14.636840456277708</c:v>
                </c:pt>
                <c:pt idx="987">
                  <c:v>-14.650463802183122</c:v>
                </c:pt>
                <c:pt idx="988">
                  <c:v>-14.664087186063941</c:v>
                </c:pt>
                <c:pt idx="989">
                  <c:v>-14.677710607919758</c:v>
                </c:pt>
                <c:pt idx="990">
                  <c:v>-14.691334067750162</c:v>
                </c:pt>
                <c:pt idx="991">
                  <c:v>-14.704957565554746</c:v>
                </c:pt>
                <c:pt idx="992">
                  <c:v>-14.7185811013331</c:v>
                </c:pt>
                <c:pt idx="993">
                  <c:v>-14.732204675084814</c:v>
                </c:pt>
                <c:pt idx="994">
                  <c:v>-14.745828286809481</c:v>
                </c:pt>
                <c:pt idx="995">
                  <c:v>-14.759451936506689</c:v>
                </c:pt>
                <c:pt idx="996">
                  <c:v>-14.77307562417603</c:v>
                </c:pt>
                <c:pt idx="997">
                  <c:v>-14.786699349817097</c:v>
                </c:pt>
                <c:pt idx="998">
                  <c:v>-14.800323113429478</c:v>
                </c:pt>
                <c:pt idx="999">
                  <c:v>-14.813946915012766</c:v>
                </c:pt>
                <c:pt idx="1000">
                  <c:v>-14.827570754566549</c:v>
                </c:pt>
              </c:numCache>
            </c:numRef>
          </c:yVal>
          <c:smooth val="1"/>
          <c:extLst>
            <c:ext xmlns:c16="http://schemas.microsoft.com/office/drawing/2014/chart" uri="{C3380CC4-5D6E-409C-BE32-E72D297353CC}">
              <c16:uniqueId val="{00000001-93D4-48A2-9F65-FF2CAA52DF8C}"/>
            </c:ext>
          </c:extLst>
        </c:ser>
        <c:ser>
          <c:idx val="1"/>
          <c:order val="2"/>
          <c:tx>
            <c:strRef>
              <c:f>Trajecto!$B$107</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Calculs!$K$4:$K$1004</c:f>
              <c:numCache>
                <c:formatCode>0.00</c:formatCode>
                <c:ptCount val="1001"/>
                <c:pt idx="0">
                  <c:v>0</c:v>
                </c:pt>
                <c:pt idx="1">
                  <c:v>0</c:v>
                </c:pt>
                <c:pt idx="2">
                  <c:v>8.8659929951468331E-4</c:v>
                </c:pt>
                <c:pt idx="3">
                  <c:v>4.4551282218210728E-3</c:v>
                </c:pt>
                <c:pt idx="4">
                  <c:v>1.252376084757101E-2</c:v>
                </c:pt>
                <c:pt idx="5">
                  <c:v>2.6912343102871397E-2</c:v>
                </c:pt>
                <c:pt idx="6">
                  <c:v>4.8982521190609973E-2</c:v>
                </c:pt>
                <c:pt idx="7">
                  <c:v>7.9176829171388755E-2</c:v>
                </c:pt>
                <c:pt idx="8">
                  <c:v>0.11747781638166428</c:v>
                </c:pt>
                <c:pt idx="9">
                  <c:v>0.16386796803219167</c:v>
                </c:pt>
                <c:pt idx="10">
                  <c:v>0.21832970542708824</c:v>
                </c:pt>
                <c:pt idx="11">
                  <c:v>0.28084538618456867</c:v>
                </c:pt>
                <c:pt idx="12">
                  <c:v>0.35139730445933887</c:v>
                </c:pt>
                <c:pt idx="13">
                  <c:v>0.42996769116663514</c:v>
                </c:pt>
                <c:pt idx="14">
                  <c:v>0.51653871420789566</c:v>
                </c:pt>
                <c:pt idx="15">
                  <c:v>0.6110924786980505</c:v>
                </c:pt>
                <c:pt idx="16">
                  <c:v>0.71361102719441705</c:v>
                </c:pt>
                <c:pt idx="17">
                  <c:v>0.82407633992718732</c:v>
                </c:pt>
                <c:pt idx="18">
                  <c:v>0.94247033503149291</c:v>
                </c:pt>
                <c:pt idx="19">
                  <c:v>1.0687748687810346</c:v>
                </c:pt>
                <c:pt idx="20">
                  <c:v>1.2029717358232617</c:v>
                </c:pt>
                <c:pt idx="21">
                  <c:v>1.3450426694160895</c:v>
                </c:pt>
                <c:pt idx="22">
                  <c:v>1.4949693416661369</c:v>
                </c:pt>
                <c:pt idx="23">
                  <c:v>1.6527333637684745</c:v>
                </c:pt>
                <c:pt idx="24">
                  <c:v>1.8183162862478643</c:v>
                </c:pt>
                <c:pt idx="25">
                  <c:v>1.9916995992014821</c:v>
                </c:pt>
                <c:pt idx="26">
                  <c:v>2.1728647325431032</c:v>
                </c:pt>
                <c:pt idx="27">
                  <c:v>2.361793056248739</c:v>
                </c:pt>
                <c:pt idx="28">
                  <c:v>2.5584658806037122</c:v>
                </c:pt>
                <c:pt idx="29">
                  <c:v>2.7628644564511502</c:v>
                </c:pt>
                <c:pt idx="30">
                  <c:v>2.9749699754418892</c:v>
                </c:pt>
                <c:pt idx="31">
                  <c:v>3.1947635702857671</c:v>
                </c:pt>
                <c:pt idx="32">
                  <c:v>3.4222263150042971</c:v>
                </c:pt>
                <c:pt idx="33">
                  <c:v>3.657339225184701</c:v>
                </c:pt>
                <c:pt idx="34">
                  <c:v>3.9000832582352913</c:v>
                </c:pt>
                <c:pt idx="35">
                  <c:v>4.1504393136421855</c:v>
                </c:pt>
                <c:pt idx="36">
                  <c:v>4.408373436395542</c:v>
                </c:pt>
                <c:pt idx="37">
                  <c:v>4.6738511390822293</c:v>
                </c:pt>
                <c:pt idx="38">
                  <c:v>4.9468522042620924</c:v>
                </c:pt>
                <c:pt idx="39">
                  <c:v>5.2273563746255851</c:v>
                </c:pt>
                <c:pt idx="40">
                  <c:v>5.5153433591705081</c:v>
                </c:pt>
                <c:pt idx="41">
                  <c:v>5.8107928324423543</c:v>
                </c:pt>
                <c:pt idx="42">
                  <c:v>6.1136844338504801</c:v>
                </c:pt>
                <c:pt idx="43">
                  <c:v>6.4239977670528514</c:v>
                </c:pt>
                <c:pt idx="44">
                  <c:v>6.7417123994029753</c:v>
                </c:pt>
                <c:pt idx="45">
                  <c:v>7.0668078614533849</c:v>
                </c:pt>
                <c:pt idx="46">
                  <c:v>7.3992636465106711</c:v>
                </c:pt>
                <c:pt idx="47">
                  <c:v>7.7390592102376212</c:v>
                </c:pt>
                <c:pt idx="48">
                  <c:v>8.0861739702985052</c:v>
                </c:pt>
                <c:pt idx="49">
                  <c:v>8.4405873060439625</c:v>
                </c:pt>
                <c:pt idx="50">
                  <c:v>8.8022785582323149</c:v>
                </c:pt>
                <c:pt idx="51">
                  <c:v>9.1712294446431297</c:v>
                </c:pt>
                <c:pt idx="52">
                  <c:v>9.5474264786206469</c:v>
                </c:pt>
                <c:pt idx="53">
                  <c:v>9.9308585571787109</c:v>
                </c:pt>
                <c:pt idx="54">
                  <c:v>10.321514546175811</c:v>
                </c:pt>
                <c:pt idx="55">
                  <c:v>10.719383280064211</c:v>
                </c:pt>
                <c:pt idx="56">
                  <c:v>11.124453561659102</c:v>
                </c:pt>
                <c:pt idx="57">
                  <c:v>11.536714161926477</c:v>
                </c:pt>
                <c:pt idx="58">
                  <c:v>11.956153819788485</c:v>
                </c:pt>
                <c:pt idx="59">
                  <c:v>12.38276124194517</c:v>
                </c:pt>
                <c:pt idx="60">
                  <c:v>12.816525102711584</c:v>
                </c:pt>
                <c:pt idx="61">
                  <c:v>13.25743404386931</c:v>
                </c:pt>
                <c:pt idx="62">
                  <c:v>13.705476674531562</c:v>
                </c:pt>
                <c:pt idx="63">
                  <c:v>14.160641571021051</c:v>
                </c:pt>
                <c:pt idx="64">
                  <c:v>14.622917276759887</c:v>
                </c:pt>
                <c:pt idx="65">
                  <c:v>15.092292302170847</c:v>
                </c:pt>
                <c:pt idx="66">
                  <c:v>15.568755124589369</c:v>
                </c:pt>
                <c:pt idx="67">
                  <c:v>16.052294188185709</c:v>
                </c:pt>
                <c:pt idx="68">
                  <c:v>16.542897903896698</c:v>
                </c:pt>
                <c:pt idx="69">
                  <c:v>17.04055464936663</c:v>
                </c:pt>
                <c:pt idx="70">
                  <c:v>17.545252768896773</c:v>
                </c:pt>
                <c:pt idx="71">
                  <c:v>18.056980573403123</c:v>
                </c:pt>
                <c:pt idx="72">
                  <c:v>18.575726340381934</c:v>
                </c:pt>
                <c:pt idx="73">
                  <c:v>19.101478313882705</c:v>
                </c:pt>
                <c:pt idx="74">
                  <c:v>19.634224704488243</c:v>
                </c:pt>
                <c:pt idx="75">
                  <c:v>20.173953689301449</c:v>
                </c:pt>
                <c:pt idx="76">
                  <c:v>20.720653411938581</c:v>
                </c:pt>
                <c:pt idx="77">
                  <c:v>21.274311982528634</c:v>
                </c:pt>
                <c:pt idx="78">
                  <c:v>21.834917477718612</c:v>
                </c:pt>
                <c:pt idx="79">
                  <c:v>22.402457940684428</c:v>
                </c:pt>
                <c:pt idx="80">
                  <c:v>22.976921381147175</c:v>
                </c:pt>
                <c:pt idx="81">
                  <c:v>23.558295775394551</c:v>
                </c:pt>
                <c:pt idx="82">
                  <c:v>24.146569066307247</c:v>
                </c:pt>
                <c:pt idx="83">
                  <c:v>24.741729163390048</c:v>
                </c:pt>
                <c:pt idx="84">
                  <c:v>25.343763942807509</c:v>
                </c:pt>
                <c:pt idx="85">
                  <c:v>25.952661247424011</c:v>
                </c:pt>
                <c:pt idx="86">
                  <c:v>26.56840888684799</c:v>
                </c:pt>
                <c:pt idx="87">
                  <c:v>27.190994637480255</c:v>
                </c:pt>
                <c:pt idx="88">
                  <c:v>27.820406242566154</c:v>
                </c:pt>
                <c:pt idx="89">
                  <c:v>28.456631412251536</c:v>
                </c:pt>
                <c:pt idx="90">
                  <c:v>29.099657823642289</c:v>
                </c:pt>
                <c:pt idx="91">
                  <c:v>29.749473120867389</c:v>
                </c:pt>
                <c:pt idx="92">
                  <c:v>30.406064915145301</c:v>
                </c:pt>
                <c:pt idx="93">
                  <c:v>31.069420784853619</c:v>
                </c:pt>
                <c:pt idx="94">
                  <c:v>31.739528275601867</c:v>
                </c:pt>
                <c:pt idx="95">
                  <c:v>32.416374900307289</c:v>
                </c:pt>
                <c:pt idx="96">
                  <c:v>33.099948139273614</c:v>
                </c:pt>
                <c:pt idx="97">
                  <c:v>33.790235440272603</c:v>
                </c:pt>
                <c:pt idx="98">
                  <c:v>34.487224218628398</c:v>
                </c:pt>
                <c:pt idx="99">
                  <c:v>35.190901857304453</c:v>
                </c:pt>
                <c:pt idx="100">
                  <c:v>35.901255706993105</c:v>
                </c:pt>
                <c:pt idx="101">
                  <c:v>36.618271977656789</c:v>
                </c:pt>
                <c:pt idx="102">
                  <c:v>37.341934628980148</c:v>
                </c:pt>
                <c:pt idx="103">
                  <c:v>38.072226477618543</c:v>
                </c:pt>
                <c:pt idx="104">
                  <c:v>38.809130305572602</c:v>
                </c:pt>
                <c:pt idx="105">
                  <c:v>39.552628860354062</c:v>
                </c:pt>
                <c:pt idx="106">
                  <c:v>40.302704855153841</c:v>
                </c:pt>
                <c:pt idx="107">
                  <c:v>41.059340969012339</c:v>
                </c:pt>
                <c:pt idx="108">
                  <c:v>41.822519846991852</c:v>
                </c:pt>
                <c:pt idx="109">
                  <c:v>42.592224100351054</c:v>
                </c:pt>
                <c:pt idx="110">
                  <c:v>43.368436306721478</c:v>
                </c:pt>
                <c:pt idx="111">
                  <c:v>44.15113901028591</c:v>
                </c:pt>
                <c:pt idx="112">
                  <c:v>44.94031472195865</c:v>
                </c:pt>
                <c:pt idx="113">
                  <c:v>45.735945919567605</c:v>
                </c:pt>
                <c:pt idx="114">
                  <c:v>46.538015048038091</c:v>
                </c:pt>
                <c:pt idx="115">
                  <c:v>47.346504519578353</c:v>
                </c:pt>
                <c:pt idx="116">
                  <c:v>48.161396713866722</c:v>
                </c:pt>
                <c:pt idx="117">
                  <c:v>48.982673978240364</c:v>
                </c:pt>
                <c:pt idx="118">
                  <c:v>49.810318627885536</c:v>
                </c:pt>
                <c:pt idx="119">
                  <c:v>50.644312946029373</c:v>
                </c:pt>
                <c:pt idx="120">
                  <c:v>51.484639184133087</c:v>
                </c:pt>
                <c:pt idx="121">
                  <c:v>52.331279562086578</c:v>
                </c:pt>
                <c:pt idx="122">
                  <c:v>53.184216268404384</c:v>
                </c:pt>
                <c:pt idx="123">
                  <c:v>54.043431460422944</c:v>
                </c:pt>
                <c:pt idx="124">
                  <c:v>54.908907264499128</c:v>
                </c:pt>
                <c:pt idx="125">
                  <c:v>55.780625776209995</c:v>
                </c:pt>
                <c:pt idx="126">
                  <c:v>56.658569060553738</c:v>
                </c:pt>
                <c:pt idx="127">
                  <c:v>57.54271915215179</c:v>
                </c:pt>
                <c:pt idx="128">
                  <c:v>58.433058055452001</c:v>
                </c:pt>
                <c:pt idx="129">
                  <c:v>59.329567744932952</c:v>
                </c:pt>
                <c:pt idx="130">
                  <c:v>60.232230165309247</c:v>
                </c:pt>
                <c:pt idx="131">
                  <c:v>61.141027231737873</c:v>
                </c:pt>
                <c:pt idx="132">
                  <c:v>62.05594083002547</c:v>
                </c:pt>
                <c:pt idx="133">
                  <c:v>62.976952816836601</c:v>
                </c:pt>
                <c:pt idx="134">
                  <c:v>63.904045019902888</c:v>
                </c:pt>
                <c:pt idx="135">
                  <c:v>64.83719923823304</c:v>
                </c:pt>
                <c:pt idx="136">
                  <c:v>65.776397242323739</c:v>
                </c:pt>
                <c:pt idx="137">
                  <c:v>66.721620774371331</c:v>
                </c:pt>
                <c:pt idx="138">
                  <c:v>67.672851548484317</c:v>
                </c:pt>
                <c:pt idx="139">
                  <c:v>68.630071250896577</c:v>
                </c:pt>
                <c:pt idx="140">
                  <c:v>69.593261540181359</c:v>
                </c:pt>
                <c:pt idx="141">
                  <c:v>70.562404047465989</c:v>
                </c:pt>
                <c:pt idx="142">
                  <c:v>71.53748037664721</c:v>
                </c:pt>
                <c:pt idx="143">
                  <c:v>72.518472104607213</c:v>
                </c:pt>
                <c:pt idx="144">
                  <c:v>73.505360781430269</c:v>
                </c:pt>
                <c:pt idx="145">
                  <c:v>74.498127930620001</c:v>
                </c:pt>
                <c:pt idx="146">
                  <c:v>75.496755049317201</c:v>
                </c:pt>
                <c:pt idx="147">
                  <c:v>76.501223608518259</c:v>
                </c:pt>
                <c:pt idx="148">
                  <c:v>77.511515053294033</c:v>
                </c:pt>
                <c:pt idx="149">
                  <c:v>78.52761080300931</c:v>
                </c:pt>
                <c:pt idx="150">
                  <c:v>79.549492251542716</c:v>
                </c:pt>
                <c:pt idx="151">
                  <c:v>80.577141143215641</c:v>
                </c:pt>
                <c:pt idx="152">
                  <c:v>81.610539948971692</c:v>
                </c:pt>
                <c:pt idx="153">
                  <c:v>82.649671491142087</c:v>
                </c:pt>
                <c:pt idx="154">
                  <c:v>83.694518567950325</c:v>
                </c:pt>
                <c:pt idx="155">
                  <c:v>84.74506395371192</c:v>
                </c:pt>
                <c:pt idx="156">
                  <c:v>85.801290399034514</c:v>
                </c:pt>
                <c:pt idx="157">
                  <c:v>86.863180631018466</c:v>
                </c:pt>
                <c:pt idx="158">
                  <c:v>87.930717353457709</c:v>
                </c:pt>
                <c:pt idx="159">
                  <c:v>89.003883247041045</c:v>
                </c:pt>
                <c:pt idx="160">
                  <c:v>90.082660969553714</c:v>
                </c:pt>
                <c:pt idx="161">
                  <c:v>91.167033156079356</c:v>
                </c:pt>
                <c:pt idx="162">
                  <c:v>92.25698241920216</c:v>
                </c:pt>
                <c:pt idx="163">
                  <c:v>93.352491349209444</c:v>
                </c:pt>
                <c:pt idx="164">
                  <c:v>94.453542514294384</c:v>
                </c:pt>
                <c:pt idx="165">
                  <c:v>95.560118460759085</c:v>
                </c:pt>
                <c:pt idx="166">
                  <c:v>96.672201713217802</c:v>
                </c:pt>
                <c:pt idx="167">
                  <c:v>97.789774774800492</c:v>
                </c:pt>
                <c:pt idx="168">
                  <c:v>98.912820127356468</c:v>
                </c:pt>
                <c:pt idx="169">
                  <c:v>100.04132023165833</c:v>
                </c:pt>
                <c:pt idx="170">
                  <c:v>101.17525752760604</c:v>
                </c:pt>
                <c:pt idx="171">
                  <c:v>102.31461443443112</c:v>
                </c:pt>
                <c:pt idx="172">
                  <c:v>103.45937335090112</c:v>
                </c:pt>
                <c:pt idx="173">
                  <c:v>104.60951665552405</c:v>
                </c:pt>
                <c:pt idx="174">
                  <c:v>105.76502670675308</c:v>
                </c:pt>
                <c:pt idx="175">
                  <c:v>106.92588584319128</c:v>
                </c:pt>
                <c:pt idx="176">
                  <c:v>108.09207638379648</c:v>
                </c:pt>
                <c:pt idx="177">
                  <c:v>109.26358062808617</c:v>
                </c:pt>
                <c:pt idx="178">
                  <c:v>110.44038085634251</c:v>
                </c:pt>
                <c:pt idx="179">
                  <c:v>111.62245932981739</c:v>
                </c:pt>
                <c:pt idx="180">
                  <c:v>112.80979829093748</c:v>
                </c:pt>
                <c:pt idx="181">
                  <c:v>114.00237996350937</c:v>
                </c:pt>
                <c:pt idx="182">
                  <c:v>115.20018655292471</c:v>
                </c:pt>
                <c:pt idx="183">
                  <c:v>116.4032002463653</c:v>
                </c:pt>
                <c:pt idx="184">
                  <c:v>117.61140321300827</c:v>
                </c:pt>
                <c:pt idx="185">
                  <c:v>118.82477760423113</c:v>
                </c:pt>
                <c:pt idx="186">
                  <c:v>120.04330555381686</c:v>
                </c:pt>
                <c:pt idx="187">
                  <c:v>121.26696917815894</c:v>
                </c:pt>
                <c:pt idx="188">
                  <c:v>122.49575057646628</c:v>
                </c:pt>
                <c:pt idx="189">
                  <c:v>123.72963183096813</c:v>
                </c:pt>
                <c:pt idx="190">
                  <c:v>124.96859500711891</c:v>
                </c:pt>
                <c:pt idx="191">
                  <c:v>126.21262215380287</c:v>
                </c:pt>
                <c:pt idx="192">
                  <c:v>127.46169530353878</c:v>
                </c:pt>
                <c:pt idx="193">
                  <c:v>128.71579647268433</c:v>
                </c:pt>
                <c:pt idx="194">
                  <c:v>129.97490766164066</c:v>
                </c:pt>
                <c:pt idx="195">
                  <c:v>131.23901085505636</c:v>
                </c:pt>
                <c:pt idx="196">
                  <c:v>132.50808802203181</c:v>
                </c:pt>
                <c:pt idx="197">
                  <c:v>133.78212111632291</c:v>
                </c:pt>
                <c:pt idx="198">
                  <c:v>135.06109207654495</c:v>
                </c:pt>
                <c:pt idx="199">
                  <c:v>136.34498282637617</c:v>
                </c:pt>
                <c:pt idx="200">
                  <c:v>137.63377527476106</c:v>
                </c:pt>
                <c:pt idx="201">
                  <c:v>138.92745131611372</c:v>
                </c:pt>
                <c:pt idx="202">
                  <c:v>140.22599283052065</c:v>
                </c:pt>
                <c:pt idx="203">
                  <c:v>141.52938168394365</c:v>
                </c:pt>
                <c:pt idx="204">
                  <c:v>142.8375997284223</c:v>
                </c:pt>
                <c:pt idx="205">
                  <c:v>144.1506288022762</c:v>
                </c:pt>
                <c:pt idx="206">
                  <c:v>145.46845073030707</c:v>
                </c:pt>
                <c:pt idx="207">
                  <c:v>146.79104732400052</c:v>
                </c:pt>
                <c:pt idx="208">
                  <c:v>148.1184003817275</c:v>
                </c:pt>
                <c:pt idx="209">
                  <c:v>149.45049168894562</c:v>
                </c:pt>
                <c:pt idx="210">
                  <c:v>150.78730301840002</c:v>
                </c:pt>
                <c:pt idx="211">
                  <c:v>152.12881613032408</c:v>
                </c:pt>
                <c:pt idx="212">
                  <c:v>153.4750127726397</c:v>
                </c:pt>
                <c:pt idx="213">
                  <c:v>154.82587468115739</c:v>
                </c:pt>
                <c:pt idx="214">
                  <c:v>156.18138357977588</c:v>
                </c:pt>
                <c:pt idx="215">
                  <c:v>157.5415211806816</c:v>
                </c:pt>
                <c:pt idx="216">
                  <c:v>158.90626918454765</c:v>
                </c:pt>
                <c:pt idx="217">
                  <c:v>160.27560928073251</c:v>
                </c:pt>
                <c:pt idx="218">
                  <c:v>161.64952314747833</c:v>
                </c:pt>
                <c:pt idx="219">
                  <c:v>163.02799245210889</c:v>
                </c:pt>
                <c:pt idx="220">
                  <c:v>164.41099885122722</c:v>
                </c:pt>
                <c:pt idx="221">
                  <c:v>165.79852399091274</c:v>
                </c:pt>
                <c:pt idx="222">
                  <c:v>167.19054950691816</c:v>
                </c:pt>
                <c:pt idx="223">
                  <c:v>168.5870570248658</c:v>
                </c:pt>
                <c:pt idx="224">
                  <c:v>169.98802816044363</c:v>
                </c:pt>
                <c:pt idx="225">
                  <c:v>171.39344451960088</c:v>
                </c:pt>
                <c:pt idx="226">
                  <c:v>172.80328769874316</c:v>
                </c:pt>
                <c:pt idx="227">
                  <c:v>174.21753928492726</c:v>
                </c:pt>
                <c:pt idx="228">
                  <c:v>175.63618085605532</c:v>
                </c:pt>
                <c:pt idx="229">
                  <c:v>177.05919398106889</c:v>
                </c:pt>
                <c:pt idx="230">
                  <c:v>178.48656022014211</c:v>
                </c:pt>
                <c:pt idx="231">
                  <c:v>179.91826112487485</c:v>
                </c:pt>
                <c:pt idx="232">
                  <c:v>181.35427823848499</c:v>
                </c:pt>
                <c:pt idx="233">
                  <c:v>182.79459309600063</c:v>
                </c:pt>
                <c:pt idx="234">
                  <c:v>184.2391872244514</c:v>
                </c:pt>
                <c:pt idx="235">
                  <c:v>185.68804214305965</c:v>
                </c:pt>
                <c:pt idx="236">
                  <c:v>187.14113936343088</c:v>
                </c:pt>
                <c:pt idx="237">
                  <c:v>188.59846038974388</c:v>
                </c:pt>
                <c:pt idx="238">
                  <c:v>190.05998671894011</c:v>
                </c:pt>
                <c:pt idx="239">
                  <c:v>191.52569984091289</c:v>
                </c:pt>
                <c:pt idx="240">
                  <c:v>192.99558123869571</c:v>
                </c:pt>
                <c:pt idx="241">
                  <c:v>194.46961238865032</c:v>
                </c:pt>
                <c:pt idx="242">
                  <c:v>195.94777476065411</c:v>
                </c:pt>
                <c:pt idx="243">
                  <c:v>197.43004981828696</c:v>
                </c:pt>
                <c:pt idx="244">
                  <c:v>198.91641901901761</c:v>
                </c:pt>
                <c:pt idx="245">
                  <c:v>200.40686381438945</c:v>
                </c:pt>
                <c:pt idx="246">
                  <c:v>201.90136565020575</c:v>
                </c:pt>
                <c:pt idx="247">
                  <c:v>203.39990596671424</c:v>
                </c:pt>
                <c:pt idx="248">
                  <c:v>204.90246619879136</c:v>
                </c:pt>
                <c:pt idx="249">
                  <c:v>206.40902777612555</c:v>
                </c:pt>
                <c:pt idx="250">
                  <c:v>207.9195721234004</c:v>
                </c:pt>
                <c:pt idx="251">
                  <c:v>209.43407905116553</c:v>
                </c:pt>
                <c:pt idx="252">
                  <c:v>210.95252514660507</c:v>
                </c:pt>
                <c:pt idx="253">
                  <c:v>212.47488538368131</c:v>
                </c:pt>
                <c:pt idx="254">
                  <c:v>214.00113473342174</c:v>
                </c:pt>
                <c:pt idx="255">
                  <c:v>215.53124816418278</c:v>
                </c:pt>
                <c:pt idx="256">
                  <c:v>217.06520064191238</c:v>
                </c:pt>
                <c:pt idx="257">
                  <c:v>218.60296713041126</c:v>
                </c:pt>
                <c:pt idx="258">
                  <c:v>220.14452259159319</c:v>
                </c:pt>
                <c:pt idx="259">
                  <c:v>221.68984198574395</c:v>
                </c:pt>
                <c:pt idx="260">
                  <c:v>223.23890027177916</c:v>
                </c:pt>
                <c:pt idx="261">
                  <c:v>224.7916724075009</c:v>
                </c:pt>
                <c:pt idx="262">
                  <c:v>226.34813334985307</c:v>
                </c:pt>
                <c:pt idx="263">
                  <c:v>227.90825805517559</c:v>
                </c:pt>
                <c:pt idx="264">
                  <c:v>229.4720214794574</c:v>
                </c:pt>
                <c:pt idx="265">
                  <c:v>231.03939857858811</c:v>
                </c:pt>
                <c:pt idx="266">
                  <c:v>232.61036430860852</c:v>
                </c:pt>
                <c:pt idx="267">
                  <c:v>234.18489362595994</c:v>
                </c:pt>
                <c:pt idx="268">
                  <c:v>235.76296148773207</c:v>
                </c:pt>
                <c:pt idx="269">
                  <c:v>237.34454285190984</c:v>
                </c:pt>
                <c:pt idx="270">
                  <c:v>238.92961267761882</c:v>
                </c:pt>
                <c:pt idx="271">
                  <c:v>240.51814592536951</c:v>
                </c:pt>
                <c:pt idx="272">
                  <c:v>242.11011755730019</c:v>
                </c:pt>
                <c:pt idx="273">
                  <c:v>243.70550253741862</c:v>
                </c:pt>
                <c:pt idx="274">
                  <c:v>245.3042758318424</c:v>
                </c:pt>
                <c:pt idx="275">
                  <c:v>246.9064124090381</c:v>
                </c:pt>
                <c:pt idx="276">
                  <c:v>248.51188724005888</c:v>
                </c:pt>
                <c:pt idx="277">
                  <c:v>250.12067529878118</c:v>
                </c:pt>
                <c:pt idx="278">
                  <c:v>251.73275156213975</c:v>
                </c:pt>
                <c:pt idx="279">
                  <c:v>253.34809101036151</c:v>
                </c:pt>
                <c:pt idx="280">
                  <c:v>254.96666862719815</c:v>
                </c:pt>
                <c:pt idx="281">
                  <c:v>256.58845940015726</c:v>
                </c:pt>
                <c:pt idx="282">
                  <c:v>258.21343832073234</c:v>
                </c:pt>
                <c:pt idx="283">
                  <c:v>259.84158038463119</c:v>
                </c:pt>
                <c:pt idx="284">
                  <c:v>261.47286059200331</c:v>
                </c:pt>
                <c:pt idx="285">
                  <c:v>263.10725394766558</c:v>
                </c:pt>
                <c:pt idx="286">
                  <c:v>264.74473546132702</c:v>
                </c:pt>
                <c:pt idx="287">
                  <c:v>266.38528014781173</c:v>
                </c:pt>
                <c:pt idx="288">
                  <c:v>268.02886302728092</c:v>
                </c:pt>
                <c:pt idx="289">
                  <c:v>269.67545912545324</c:v>
                </c:pt>
                <c:pt idx="290">
                  <c:v>271.325043473824</c:v>
                </c:pt>
                <c:pt idx="291">
                  <c:v>272.97759110988278</c:v>
                </c:pt>
                <c:pt idx="292">
                  <c:v>274.63307707732997</c:v>
                </c:pt>
                <c:pt idx="293">
                  <c:v>276.29147642629169</c:v>
                </c:pt>
                <c:pt idx="294">
                  <c:v>277.95276421353344</c:v>
                </c:pt>
                <c:pt idx="295">
                  <c:v>279.61691550267227</c:v>
                </c:pt>
                <c:pt idx="296">
                  <c:v>281.28390536438786</c:v>
                </c:pt>
                <c:pt idx="297">
                  <c:v>282.95370887663182</c:v>
                </c:pt>
                <c:pt idx="298">
                  <c:v>284.62628351581145</c:v>
                </c:pt>
                <c:pt idx="299">
                  <c:v>286.30155155276105</c:v>
                </c:pt>
                <c:pt idx="300">
                  <c:v>287.97941767922237</c:v>
                </c:pt>
                <c:pt idx="301">
                  <c:v>289.65978663032428</c:v>
                </c:pt>
                <c:pt idx="302">
                  <c:v>291.34256318635494</c:v>
                </c:pt>
                <c:pt idx="303">
                  <c:v>293.02765217451474</c:v>
                </c:pt>
                <c:pt idx="304">
                  <c:v>294.71495847065017</c:v>
                </c:pt>
                <c:pt idx="305">
                  <c:v>296.40438700096882</c:v>
                </c:pt>
                <c:pt idx="306">
                  <c:v>298.09584274373503</c:v>
                </c:pt>
                <c:pt idx="307">
                  <c:v>299.78923073094637</c:v>
                </c:pt>
                <c:pt idx="308">
                  <c:v>301.48445604999102</c:v>
                </c:pt>
                <c:pt idx="309">
                  <c:v>303.18142384528562</c:v>
                </c:pt>
                <c:pt idx="310">
                  <c:v>304.88003931989397</c:v>
                </c:pt>
                <c:pt idx="311">
                  <c:v>306.58020773712639</c:v>
                </c:pt>
                <c:pt idx="312">
                  <c:v>308.28183442211963</c:v>
                </c:pt>
                <c:pt idx="313">
                  <c:v>309.9848247633974</c:v>
                </c:pt>
                <c:pt idx="314">
                  <c:v>311.68908421441154</c:v>
                </c:pt>
                <c:pt idx="315">
                  <c:v>313.39451829506379</c:v>
                </c:pt>
                <c:pt idx="316">
                  <c:v>315.10103259320795</c:v>
                </c:pt>
                <c:pt idx="317">
                  <c:v>316.8085327661326</c:v>
                </c:pt>
                <c:pt idx="318">
                  <c:v>318.51692454202464</c:v>
                </c:pt>
                <c:pt idx="319">
                  <c:v>320.2261137214129</c:v>
                </c:pt>
                <c:pt idx="320">
                  <c:v>321.93600617859266</c:v>
                </c:pt>
                <c:pt idx="321">
                  <c:v>323.64651485678212</c:v>
                </c:pt>
                <c:pt idx="322">
                  <c:v>325.3575667580202</c:v>
                </c:pt>
                <c:pt idx="323">
                  <c:v>327.06909593880772</c:v>
                </c:pt>
                <c:pt idx="324">
                  <c:v>328.78103651063037</c:v>
                </c:pt>
                <c:pt idx="325">
                  <c:v>330.49332264061275</c:v>
                </c:pt>
                <c:pt idx="326">
                  <c:v>332.20588855216323</c:v>
                </c:pt>
                <c:pt idx="327">
                  <c:v>333.91866852560935</c:v>
                </c:pt>
                <c:pt idx="328">
                  <c:v>335.63159689882315</c:v>
                </c:pt>
                <c:pt idx="329">
                  <c:v>337.34460806783761</c:v>
                </c:pt>
                <c:pt idx="330">
                  <c:v>339.05763648745312</c:v>
                </c:pt>
                <c:pt idx="331">
                  <c:v>340.77061667183466</c:v>
                </c:pt>
                <c:pt idx="332">
                  <c:v>342.48348319509944</c:v>
                </c:pt>
                <c:pt idx="333">
                  <c:v>344.19617069189519</c:v>
                </c:pt>
                <c:pt idx="334">
                  <c:v>345.90861385796899</c:v>
                </c:pt>
                <c:pt idx="335">
                  <c:v>347.62074745072664</c:v>
                </c:pt>
                <c:pt idx="336">
                  <c:v>349.33250628978277</c:v>
                </c:pt>
                <c:pt idx="337">
                  <c:v>351.04382525750145</c:v>
                </c:pt>
                <c:pt idx="338">
                  <c:v>352.75463929952787</c:v>
                </c:pt>
                <c:pt idx="339">
                  <c:v>354.46488342531006</c:v>
                </c:pt>
                <c:pt idx="340">
                  <c:v>356.17449270861215</c:v>
                </c:pt>
                <c:pt idx="341">
                  <c:v>357.88340228801769</c:v>
                </c:pt>
                <c:pt idx="342">
                  <c:v>359.59154736742431</c:v>
                </c:pt>
                <c:pt idx="343">
                  <c:v>361.29886321652884</c:v>
                </c:pt>
                <c:pt idx="344">
                  <c:v>363.00528517130351</c:v>
                </c:pt>
                <c:pt idx="345">
                  <c:v>364.71074863446302</c:v>
                </c:pt>
                <c:pt idx="346">
                  <c:v>366.4151890759224</c:v>
                </c:pt>
                <c:pt idx="347">
                  <c:v>368.118542033246</c:v>
                </c:pt>
                <c:pt idx="348">
                  <c:v>369.8207438654083</c:v>
                </c:pt>
                <c:pt idx="349">
                  <c:v>371.52173250571508</c:v>
                </c:pt>
                <c:pt idx="350">
                  <c:v>373.22144670722844</c:v>
                </c:pt>
                <c:pt idx="351">
                  <c:v>374.91982528898967</c:v>
                </c:pt>
                <c:pt idx="352">
                  <c:v>376.61680713637691</c:v>
                </c:pt>
                <c:pt idx="353">
                  <c:v>378.31233120145504</c:v>
                </c:pt>
                <c:pt idx="354">
                  <c:v>380.00633650331719</c:v>
                </c:pt>
                <c:pt idx="355">
                  <c:v>381.69876212841882</c:v>
                </c:pt>
                <c:pt idx="356">
                  <c:v>383.38954723090364</c:v>
                </c:pt>
                <c:pt idx="357">
                  <c:v>385.07863103292175</c:v>
                </c:pt>
                <c:pt idx="358">
                  <c:v>386.76595282494003</c:v>
                </c:pt>
                <c:pt idx="359">
                  <c:v>388.45145196604477</c:v>
                </c:pt>
                <c:pt idx="360">
                  <c:v>390.13508354435527</c:v>
                </c:pt>
                <c:pt idx="361">
                  <c:v>391.81683401816588</c:v>
                </c:pt>
                <c:pt idx="362">
                  <c:v>393.49670551863704</c:v>
                </c:pt>
                <c:pt idx="363">
                  <c:v>395.17470017161696</c:v>
                </c:pt>
                <c:pt idx="364">
                  <c:v>396.85082009765847</c:v>
                </c:pt>
                <c:pt idx="365">
                  <c:v>398.52506741203592</c:v>
                </c:pt>
                <c:pt idx="366">
                  <c:v>400.19744422476191</c:v>
                </c:pt>
                <c:pt idx="367">
                  <c:v>401.86795264060396</c:v>
                </c:pt>
                <c:pt idx="368">
                  <c:v>403.53659475910115</c:v>
                </c:pt>
                <c:pt idx="369">
                  <c:v>405.20337267458075</c:v>
                </c:pt>
                <c:pt idx="370">
                  <c:v>406.86828847617465</c:v>
                </c:pt>
                <c:pt idx="371">
                  <c:v>408.53134424783576</c:v>
                </c:pt>
                <c:pt idx="372">
                  <c:v>410.19254206835433</c:v>
                </c:pt>
                <c:pt idx="373">
                  <c:v>411.85188401137435</c:v>
                </c:pt>
                <c:pt idx="374">
                  <c:v>413.50937214540983</c:v>
                </c:pt>
                <c:pt idx="375">
                  <c:v>415.16500853386066</c:v>
                </c:pt>
                <c:pt idx="376">
                  <c:v>416.81879523502903</c:v>
                </c:pt>
                <c:pt idx="377">
                  <c:v>418.47073430213533</c:v>
                </c:pt>
                <c:pt idx="378">
                  <c:v>420.12082778333405</c:v>
                </c:pt>
                <c:pt idx="379">
                  <c:v>421.76907772172979</c:v>
                </c:pt>
                <c:pt idx="380">
                  <c:v>423.41548615539301</c:v>
                </c:pt>
                <c:pt idx="381">
                  <c:v>425.0600551173759</c:v>
                </c:pt>
                <c:pt idx="382">
                  <c:v>426.70278663572799</c:v>
                </c:pt>
                <c:pt idx="383">
                  <c:v>428.3436827335118</c:v>
                </c:pt>
                <c:pt idx="384">
                  <c:v>429.98274542881853</c:v>
                </c:pt>
                <c:pt idx="385">
                  <c:v>431.61997673478351</c:v>
                </c:pt>
                <c:pt idx="386">
                  <c:v>433.2553786596016</c:v>
                </c:pt>
                <c:pt idx="387">
                  <c:v>434.88895320654268</c:v>
                </c:pt>
                <c:pt idx="388">
                  <c:v>436.52070237396691</c:v>
                </c:pt>
                <c:pt idx="389">
                  <c:v>438.15062815534009</c:v>
                </c:pt>
                <c:pt idx="390">
                  <c:v>439.77873253924878</c:v>
                </c:pt>
                <c:pt idx="391">
                  <c:v>441.40501750941553</c:v>
                </c:pt>
                <c:pt idx="392">
                  <c:v>443.02948504471397</c:v>
                </c:pt>
                <c:pt idx="393">
                  <c:v>444.65213711918369</c:v>
                </c:pt>
                <c:pt idx="394">
                  <c:v>446.27297570204541</c:v>
                </c:pt>
                <c:pt idx="395">
                  <c:v>447.89200275771583</c:v>
                </c:pt>
                <c:pt idx="396">
                  <c:v>449.50922024582241</c:v>
                </c:pt>
                <c:pt idx="397">
                  <c:v>451.12463012121822</c:v>
                </c:pt>
                <c:pt idx="398">
                  <c:v>452.73823433399667</c:v>
                </c:pt>
                <c:pt idx="399">
                  <c:v>454.35003482950623</c:v>
                </c:pt>
                <c:pt idx="400">
                  <c:v>455.96003354836495</c:v>
                </c:pt>
                <c:pt idx="401">
                  <c:v>471.96107300060953</c:v>
                </c:pt>
                <c:pt idx="402">
                  <c:v>487.78318333211666</c:v>
                </c:pt>
                <c:pt idx="403">
                  <c:v>503.42825807706595</c:v>
                </c:pt>
                <c:pt idx="404">
                  <c:v>518.89814542549937</c:v>
                </c:pt>
                <c:pt idx="405">
                  <c:v>534.19464958529625</c:v>
                </c:pt>
                <c:pt idx="406">
                  <c:v>549.31953209177277</c:v>
                </c:pt>
                <c:pt idx="407">
                  <c:v>564.27451306730495</c:v>
                </c:pt>
                <c:pt idx="408">
                  <c:v>579.06127243324454</c:v>
                </c:pt>
                <c:pt idx="409">
                  <c:v>593.68145107627743</c:v>
                </c:pt>
                <c:pt idx="410">
                  <c:v>608.13665197126136</c:v>
                </c:pt>
                <c:pt idx="411">
                  <c:v>622.42844126247451</c:v>
                </c:pt>
                <c:pt idx="412">
                  <c:v>636.558349305104</c:v>
                </c:pt>
                <c:pt idx="413">
                  <c:v>650.52787166871224</c:v>
                </c:pt>
                <c:pt idx="414">
                  <c:v>664.33847010432908</c:v>
                </c:pt>
                <c:pt idx="415">
                  <c:v>677.9915734767344</c:v>
                </c:pt>
                <c:pt idx="416">
                  <c:v>691.48857866341723</c:v>
                </c:pt>
                <c:pt idx="417">
                  <c:v>704.83085142162349</c:v>
                </c:pt>
                <c:pt idx="418">
                  <c:v>718.01972722483549</c:v>
                </c:pt>
                <c:pt idx="419">
                  <c:v>731.05651206995776</c:v>
                </c:pt>
                <c:pt idx="420">
                  <c:v>743.94248325642502</c:v>
                </c:pt>
                <c:pt idx="421">
                  <c:v>756.67889013838635</c:v>
                </c:pt>
                <c:pt idx="422">
                  <c:v>769.26695485106575</c:v>
                </c:pt>
                <c:pt idx="423">
                  <c:v>781.70787301234577</c:v>
                </c:pt>
                <c:pt idx="424">
                  <c:v>794.00281440057267</c:v>
                </c:pt>
                <c:pt idx="425">
                  <c:v>806.15292360953242</c:v>
                </c:pt>
                <c:pt idx="426">
                  <c:v>818.15932068150437</c:v>
                </c:pt>
                <c:pt idx="427">
                  <c:v>830.02310171925626</c:v>
                </c:pt>
                <c:pt idx="428">
                  <c:v>841.74533947780549</c:v>
                </c:pt>
                <c:pt idx="429">
                  <c:v>853.32708393673147</c:v>
                </c:pt>
                <c:pt idx="430">
                  <c:v>864.76936285379099</c:v>
                </c:pt>
                <c:pt idx="431">
                  <c:v>876.07318230055296</c:v>
                </c:pt>
                <c:pt idx="432">
                  <c:v>887.23952718073645</c:v>
                </c:pt>
                <c:pt idx="433">
                  <c:v>898.26936173190711</c:v>
                </c:pt>
                <c:pt idx="434">
                  <c:v>909.16363001115553</c:v>
                </c:pt>
                <c:pt idx="435">
                  <c:v>919.92325636535645</c:v>
                </c:pt>
                <c:pt idx="436">
                  <c:v>930.54914588657891</c:v>
                </c:pt>
                <c:pt idx="437">
                  <c:v>941.04218485319529</c:v>
                </c:pt>
                <c:pt idx="438">
                  <c:v>951.40324115721126</c:v>
                </c:pt>
                <c:pt idx="439">
                  <c:v>961.6331647183174</c:v>
                </c:pt>
                <c:pt idx="440">
                  <c:v>971.73278788514222</c:v>
                </c:pt>
                <c:pt idx="441">
                  <c:v>981.70292582416516</c:v>
                </c:pt>
                <c:pt idx="442">
                  <c:v>991.54437689673011</c:v>
                </c:pt>
                <c:pt idx="443">
                  <c:v>1001.2579230245801</c:v>
                </c:pt>
                <c:pt idx="444">
                  <c:v>1010.8443300443178</c:v>
                </c:pt>
                <c:pt idx="445">
                  <c:v>1020.3043480511785</c:v>
                </c:pt>
                <c:pt idx="446">
                  <c:v>1029.6387117324891</c:v>
                </c:pt>
                <c:pt idx="447">
                  <c:v>1038.8481406911674</c:v>
                </c:pt>
                <c:pt idx="448">
                  <c:v>1047.9333397596049</c:v>
                </c:pt>
                <c:pt idx="449">
                  <c:v>1056.8949993042629</c:v>
                </c:pt>
                <c:pt idx="450">
                  <c:v>1065.7337955212961</c:v>
                </c:pt>
                <c:pt idx="451">
                  <c:v>1074.4503907235073</c:v>
                </c:pt>
                <c:pt idx="452">
                  <c:v>1083.0454336189248</c:v>
                </c:pt>
                <c:pt idx="453">
                  <c:v>1091.5195595812838</c:v>
                </c:pt>
                <c:pt idx="454">
                  <c:v>1099.8733909126793</c:v>
                </c:pt>
                <c:pt idx="455">
                  <c:v>1108.1075370986523</c:v>
                </c:pt>
                <c:pt idx="456">
                  <c:v>1116.2225950559571</c:v>
                </c:pt>
                <c:pt idx="457">
                  <c:v>1124.2191493732512</c:v>
                </c:pt>
                <c:pt idx="458">
                  <c:v>1132.09777254494</c:v>
                </c:pt>
                <c:pt idx="459">
                  <c:v>1139.8590251983981</c:v>
                </c:pt>
                <c:pt idx="460">
                  <c:v>1147.5034563147847</c:v>
                </c:pt>
                <c:pt idx="461">
                  <c:v>1155.0316034436596</c:v>
                </c:pt>
                <c:pt idx="462">
                  <c:v>1162.4439929116011</c:v>
                </c:pt>
                <c:pt idx="463">
                  <c:v>1169.7411400250207</c:v>
                </c:pt>
                <c:pt idx="464">
                  <c:v>1176.9235492673604</c:v>
                </c:pt>
                <c:pt idx="465">
                  <c:v>1183.9917144908559</c:v>
                </c:pt>
                <c:pt idx="466">
                  <c:v>1190.9461191030416</c:v>
                </c:pt>
                <c:pt idx="467">
                  <c:v>1197.7872362481671</c:v>
                </c:pt>
                <c:pt idx="468">
                  <c:v>1204.5155289836905</c:v>
                </c:pt>
                <c:pt idx="469">
                  <c:v>1211.1314504520108</c:v>
                </c:pt>
                <c:pt idx="470">
                  <c:v>1217.6354440475943</c:v>
                </c:pt>
                <c:pt idx="471">
                  <c:v>1224.0279435796492</c:v>
                </c:pt>
                <c:pt idx="472">
                  <c:v>1230.3093734304941</c:v>
                </c:pt>
                <c:pt idx="473">
                  <c:v>1236.4801487097689</c:v>
                </c:pt>
                <c:pt idx="474">
                  <c:v>1242.540675404628</c:v>
                </c:pt>
                <c:pt idx="475">
                  <c:v>1248.4913505260561</c:v>
                </c:pt>
                <c:pt idx="476">
                  <c:v>1254.3325622514435</c:v>
                </c:pt>
                <c:pt idx="477">
                  <c:v>1260.0646900635552</c:v>
                </c:pt>
                <c:pt idx="478">
                  <c:v>1265.6881048860278</c:v>
                </c:pt>
                <c:pt idx="479">
                  <c:v>1271.2031692155244</c:v>
                </c:pt>
                <c:pt idx="480">
                  <c:v>1276.6102372506814</c:v>
                </c:pt>
                <c:pt idx="481">
                  <c:v>1281.9096550179734</c:v>
                </c:pt>
                <c:pt idx="482">
                  <c:v>1287.1017604946292</c:v>
                </c:pt>
                <c:pt idx="483">
                  <c:v>1292.1868837287286</c:v>
                </c:pt>
                <c:pt idx="484">
                  <c:v>1297.1653469566097</c:v>
                </c:pt>
                <c:pt idx="485">
                  <c:v>1302.0374647177216</c:v>
                </c:pt>
                <c:pt idx="486">
                  <c:v>1306.8035439670537</c:v>
                </c:pt>
                <c:pt idx="487">
                  <c:v>1311.4638841852804</c:v>
                </c:pt>
                <c:pt idx="488">
                  <c:v>1316.0187774867595</c:v>
                </c:pt>
                <c:pt idx="489">
                  <c:v>1320.4685087255266</c:v>
                </c:pt>
                <c:pt idx="490">
                  <c:v>1324.8133555994336</c:v>
                </c:pt>
                <c:pt idx="491">
                  <c:v>1329.0535887525841</c:v>
                </c:pt>
                <c:pt idx="492">
                  <c:v>1333.1894718762205</c:v>
                </c:pt>
                <c:pt idx="493">
                  <c:v>1337.221261808231</c:v>
                </c:pt>
                <c:pt idx="494">
                  <c:v>1341.1492086314452</c:v>
                </c:pt>
                <c:pt idx="495">
                  <c:v>1344.9735557709007</c:v>
                </c:pt>
                <c:pt idx="496">
                  <c:v>1348.6945400902691</c:v>
                </c:pt>
                <c:pt idx="497">
                  <c:v>1352.3123919876414</c:v>
                </c:pt>
                <c:pt idx="498">
                  <c:v>1355.8273354908845</c:v>
                </c:pt>
                <c:pt idx="499">
                  <c:v>1359.2395883527934</c:v>
                </c:pt>
                <c:pt idx="500">
                  <c:v>1362.5493621462758</c:v>
                </c:pt>
                <c:pt idx="501">
                  <c:v>1365.7568623598231</c:v>
                </c:pt>
                <c:pt idx="502">
                  <c:v>1368.8622884935346</c:v>
                </c:pt>
                <c:pt idx="503">
                  <c:v>1371.8658341559844</c:v>
                </c:pt>
                <c:pt idx="504">
                  <c:v>1374.7676871622316</c:v>
                </c:pt>
                <c:pt idx="505">
                  <c:v>1377.5680296332987</c:v>
                </c:pt>
                <c:pt idx="506">
                  <c:v>1380.2670380974635</c:v>
                </c:pt>
                <c:pt idx="507">
                  <c:v>1382.8648835937252</c:v>
                </c:pt>
                <c:pt idx="508">
                  <c:v>1385.3617317778323</c:v>
                </c:pt>
                <c:pt idx="509">
                  <c:v>1387.7577430312767</c:v>
                </c:pt>
                <c:pt idx="510">
                  <c:v>1390.053072573678</c:v>
                </c:pt>
                <c:pt idx="511">
                  <c:v>1392.2478705790056</c:v>
                </c:pt>
                <c:pt idx="512">
                  <c:v>1394.3422822960968</c:v>
                </c:pt>
                <c:pt idx="513">
                  <c:v>1396.3364481739454</c:v>
                </c:pt>
                <c:pt idx="514">
                  <c:v>1398.2305039922492</c:v>
                </c:pt>
                <c:pt idx="515">
                  <c:v>1400.0245809976996</c:v>
                </c:pt>
                <c:pt idx="516">
                  <c:v>1401.7188060465073</c:v>
                </c:pt>
                <c:pt idx="517">
                  <c:v>1403.3133017536388</c:v>
                </c:pt>
                <c:pt idx="518">
                  <c:v>1404.8081866492232</c:v>
                </c:pt>
                <c:pt idx="519">
                  <c:v>1406.2035753425605</c:v>
                </c:pt>
                <c:pt idx="520">
                  <c:v>1407.4995786941179</c:v>
                </c:pt>
                <c:pt idx="521">
                  <c:v>1408.6963039958457</c:v>
                </c:pt>
                <c:pt idx="522">
                  <c:v>1409.7938551600746</c:v>
                </c:pt>
                <c:pt idx="523">
                  <c:v>1410.7923329171692</c:v>
                </c:pt>
                <c:pt idx="524">
                  <c:v>1411.6918350220117</c:v>
                </c:pt>
                <c:pt idx="525">
                  <c:v>1412.4924564692737</c:v>
                </c:pt>
                <c:pt idx="526">
                  <c:v>1413.1942897173014</c:v>
                </c:pt>
                <c:pt idx="527">
                  <c:v>1413.7974249203003</c:v>
                </c:pt>
                <c:pt idx="528">
                  <c:v>1414.3019501683527</c:v>
                </c:pt>
                <c:pt idx="529">
                  <c:v>1414.7079517346494</c:v>
                </c:pt>
                <c:pt idx="530">
                  <c:v>1415.0155143291545</c:v>
                </c:pt>
                <c:pt idx="531">
                  <c:v>1415.2247213577828</c:v>
                </c:pt>
                <c:pt idx="532">
                  <c:v>1415.3356551860206</c:v>
                </c:pt>
                <c:pt idx="533">
                  <c:v>1415.348397405807</c:v>
                </c:pt>
                <c:pt idx="534">
                  <c:v>1415.2630291043829</c:v>
                </c:pt>
                <c:pt idx="535">
                  <c:v>1415.0796311337544</c:v>
                </c:pt>
                <c:pt idx="536">
                  <c:v>1414.79828437936</c:v>
                </c:pt>
                <c:pt idx="537">
                  <c:v>1414.4190700265283</c:v>
                </c:pt>
                <c:pt idx="538">
                  <c:v>1413.9420698233337</c:v>
                </c:pt>
                <c:pt idx="539">
                  <c:v>1413.3673663385055</c:v>
                </c:pt>
                <c:pt idx="540">
                  <c:v>1412.6950432131325</c:v>
                </c:pt>
                <c:pt idx="541">
                  <c:v>1411.9251854050124</c:v>
                </c:pt>
                <c:pt idx="542">
                  <c:v>1411.0578794246198</c:v>
                </c:pt>
                <c:pt idx="543">
                  <c:v>1410.0932135618166</c:v>
                </c:pt>
                <c:pt idx="544">
                  <c:v>1409.0312781025725</c:v>
                </c:pt>
                <c:pt idx="545">
                  <c:v>1407.8721655351285</c:v>
                </c:pt>
                <c:pt idx="546">
                  <c:v>1406.6159707451848</c:v>
                </c:pt>
                <c:pt idx="547">
                  <c:v>1405.2627911998459</c:v>
                </c:pt>
                <c:pt idx="548">
                  <c:v>1403.8127271201965</c:v>
                </c:pt>
                <c:pt idx="549">
                  <c:v>1402.2658816425028</c:v>
                </c:pt>
                <c:pt idx="550">
                  <c:v>1400.6223609681524</c:v>
                </c:pt>
                <c:pt idx="551">
                  <c:v>1398.8822745025386</c:v>
                </c:pt>
                <c:pt idx="552">
                  <c:v>1397.0457349831736</c:v>
                </c:pt>
                <c:pt idx="553">
                  <c:v>1395.1128585973854</c:v>
                </c:pt>
                <c:pt idx="554">
                  <c:v>1393.0837650899975</c:v>
                </c:pt>
                <c:pt idx="555">
                  <c:v>1390.958577861433</c:v>
                </c:pt>
                <c:pt idx="556">
                  <c:v>1388.7374240567015</c:v>
                </c:pt>
                <c:pt idx="557">
                  <c:v>1386.4204346457504</c:v>
                </c:pt>
                <c:pt idx="558">
                  <c:v>1384.0077444956607</c:v>
                </c:pt>
                <c:pt idx="559">
                  <c:v>1381.4994924351638</c:v>
                </c:pt>
                <c:pt idx="560">
                  <c:v>1378.8958213119552</c:v>
                </c:pt>
                <c:pt idx="561">
                  <c:v>1376.1968780432574</c:v>
                </c:pt>
                <c:pt idx="562">
                  <c:v>1373.4028136600755</c:v>
                </c:pt>
                <c:pt idx="563">
                  <c:v>1370.5137833455644</c:v>
                </c:pt>
                <c:pt idx="564">
                  <c:v>1367.5299464679067</c:v>
                </c:pt>
                <c:pt idx="565">
                  <c:v>1364.4514666080793</c:v>
                </c:pt>
                <c:pt idx="566">
                  <c:v>1361.2785115828617</c:v>
                </c:pt>
                <c:pt idx="567">
                  <c:v>1358.0112534634175</c:v>
                </c:pt>
                <c:pt idx="568">
                  <c:v>1354.6498685897573</c:v>
                </c:pt>
                <c:pt idx="569">
                  <c:v>1351.1945375813716</c:v>
                </c:pt>
                <c:pt idx="570">
                  <c:v>1347.6454453442984</c:v>
                </c:pt>
                <c:pt idx="571">
                  <c:v>1344.0027810748716</c:v>
                </c:pt>
                <c:pt idx="572">
                  <c:v>1340.2667382603793</c:v>
                </c:pt>
                <c:pt idx="573">
                  <c:v>1336.4375146768405</c:v>
                </c:pt>
                <c:pt idx="574">
                  <c:v>1332.5153123840939</c:v>
                </c:pt>
                <c:pt idx="575">
                  <c:v>1328.5003377183778</c:v>
                </c:pt>
                <c:pt idx="576">
                  <c:v>1324.3928012825629</c:v>
                </c:pt>
                <c:pt idx="577">
                  <c:v>1320.1929179341921</c:v>
                </c:pt>
                <c:pt idx="578">
                  <c:v>1315.9009067714633</c:v>
                </c:pt>
                <c:pt idx="579">
                  <c:v>1311.5169911172827</c:v>
                </c:pt>
                <c:pt idx="580">
                  <c:v>1307.0413985015095</c:v>
                </c:pt>
                <c:pt idx="581">
                  <c:v>1302.4743606414961</c:v>
                </c:pt>
                <c:pt idx="582">
                  <c:v>1297.816113421025</c:v>
                </c:pt>
                <c:pt idx="583">
                  <c:v>1293.0668968677367</c:v>
                </c:pt>
                <c:pt idx="584">
                  <c:v>1288.226955129129</c:v>
                </c:pt>
                <c:pt idx="585">
                  <c:v>1283.2965364472102</c:v>
                </c:pt>
                <c:pt idx="586">
                  <c:v>1278.2758931318758</c:v>
                </c:pt>
                <c:pt idx="587">
                  <c:v>1273.1652815330781</c:v>
                </c:pt>
                <c:pt idx="588">
                  <c:v>1267.9649620118494</c:v>
                </c:pt>
                <c:pt idx="589">
                  <c:v>1262.6751989102379</c:v>
                </c:pt>
                <c:pt idx="590">
                  <c:v>1257.2962605202094</c:v>
                </c:pt>
                <c:pt idx="591">
                  <c:v>1251.8284190515658</c:v>
                </c:pt>
                <c:pt idx="592">
                  <c:v>1246.271950598926</c:v>
                </c:pt>
                <c:pt idx="593">
                  <c:v>1240.6271351078153</c:v>
                </c:pt>
                <c:pt idx="594">
                  <c:v>1234.8942563399028</c:v>
                </c:pt>
                <c:pt idx="595">
                  <c:v>1229.0736018374259</c:v>
                </c:pt>
                <c:pt idx="596">
                  <c:v>1223.1654628868387</c:v>
                </c:pt>
                <c:pt idx="597">
                  <c:v>1217.1701344817182</c:v>
                </c:pt>
                <c:pt idx="598">
                  <c:v>1211.0879152849611</c:v>
                </c:pt>
                <c:pt idx="599">
                  <c:v>1204.9191075903029</c:v>
                </c:pt>
                <c:pt idx="600">
                  <c:v>1198.6640172831862</c:v>
                </c:pt>
                <c:pt idx="601">
                  <c:v>1192.3229538010082</c:v>
                </c:pt>
                <c:pt idx="602">
                  <c:v>1185.896230092774</c:v>
                </c:pt>
                <c:pt idx="603">
                  <c:v>1179.3841625781783</c:v>
                </c:pt>
                <c:pt idx="604">
                  <c:v>1172.7870711061448</c:v>
                </c:pt>
                <c:pt idx="605">
                  <c:v>1166.105278912841</c:v>
                </c:pt>
                <c:pt idx="606">
                  <c:v>1159.3391125791945</c:v>
                </c:pt>
                <c:pt idx="607">
                  <c:v>1152.4889019879322</c:v>
                </c:pt>
                <c:pt idx="608">
                  <c:v>1145.5549802801609</c:v>
                </c:pt>
                <c:pt idx="609">
                  <c:v>1138.5376838115119</c:v>
                </c:pt>
                <c:pt idx="610">
                  <c:v>1131.4373521078687</c:v>
                </c:pt>
                <c:pt idx="611">
                  <c:v>1124.2543278206954</c:v>
                </c:pt>
                <c:pt idx="612">
                  <c:v>1116.988956681985</c:v>
                </c:pt>
                <c:pt idx="613">
                  <c:v>1109.6415874588467</c:v>
                </c:pt>
                <c:pt idx="614">
                  <c:v>1102.2125719077476</c:v>
                </c:pt>
                <c:pt idx="615">
                  <c:v>1094.7022647284271</c:v>
                </c:pt>
                <c:pt idx="616">
                  <c:v>1087.1110235174997</c:v>
                </c:pt>
                <c:pt idx="617">
                  <c:v>1079.439208721765</c:v>
                </c:pt>
                <c:pt idx="618">
                  <c:v>1071.6871835912366</c:v>
                </c:pt>
                <c:pt idx="619">
                  <c:v>1063.8553141319092</c:v>
                </c:pt>
                <c:pt idx="620">
                  <c:v>1055.9439690582776</c:v>
                </c:pt>
                <c:pt idx="621">
                  <c:v>1047.9535197456235</c:v>
                </c:pt>
                <c:pt idx="622">
                  <c:v>1039.8843401820825</c:v>
                </c:pt>
                <c:pt idx="623">
                  <c:v>1031.7368069205102</c:v>
                </c:pt>
                <c:pt idx="624">
                  <c:v>1023.5112990301571</c:v>
                </c:pt>
                <c:pt idx="625">
                  <c:v>1015.2081980481699</c:v>
                </c:pt>
                <c:pt idx="626">
                  <c:v>1006.8278879309302</c:v>
                </c:pt>
                <c:pt idx="627">
                  <c:v>998.37075500524679</c:v>
                </c:pt>
                <c:pt idx="628">
                  <c:v>989.83718791941396</c:v>
                </c:pt>
                <c:pt idx="629">
                  <c:v>981.22757759414822</c:v>
                </c:pt>
                <c:pt idx="630">
                  <c:v>972.54231717341816</c:v>
                </c:pt>
                <c:pt idx="631">
                  <c:v>963.78180197517929</c:v>
                </c:pt>
                <c:pt idx="632">
                  <c:v>954.94642944202712</c:v>
                </c:pt>
                <c:pt idx="633">
                  <c:v>946.03659909178134</c:v>
                </c:pt>
                <c:pt idx="634">
                  <c:v>937.05271246801237</c:v>
                </c:pt>
                <c:pt idx="635">
                  <c:v>927.99517309052442</c:v>
                </c:pt>
                <c:pt idx="636">
                  <c:v>918.86438640580525</c:v>
                </c:pt>
                <c:pt idx="637">
                  <c:v>909.66075973745649</c:v>
                </c:pt>
                <c:pt idx="638">
                  <c:v>900.38470223661477</c:v>
                </c:pt>
                <c:pt idx="639">
                  <c:v>891.03662483237679</c:v>
                </c:pt>
                <c:pt idx="640">
                  <c:v>881.61694018223841</c:v>
                </c:pt>
                <c:pt idx="641">
                  <c:v>872.12606262256077</c:v>
                </c:pt>
                <c:pt idx="642">
                  <c:v>862.56440811907339</c:v>
                </c:pt>
                <c:pt idx="643">
                  <c:v>852.93239421742624</c:v>
                </c:pt>
                <c:pt idx="644">
                  <c:v>843.23043999380116</c:v>
                </c:pt>
                <c:pt idx="645">
                  <c:v>833.45896600559445</c:v>
                </c:pt>
                <c:pt idx="646">
                  <c:v>823.61839424217999</c:v>
                </c:pt>
                <c:pt idx="647">
                  <c:v>813.70914807576469</c:v>
                </c:pt>
                <c:pt idx="648">
                  <c:v>803.73165221234592</c:v>
                </c:pt>
                <c:pt idx="649">
                  <c:v>793.68633264278196</c:v>
                </c:pt>
                <c:pt idx="650">
                  <c:v>783.57361659398464</c:v>
                </c:pt>
                <c:pt idx="651">
                  <c:v>773.39393248024521</c:v>
                </c:pt>
                <c:pt idx="652">
                  <c:v>763.14770985470261</c:v>
                </c:pt>
                <c:pt idx="653">
                  <c:v>752.83537936096423</c:v>
                </c:pt>
                <c:pt idx="654">
                  <c:v>742.45737268488847</c:v>
                </c:pt>
                <c:pt idx="655">
                  <c:v>732.01412250653902</c:v>
                </c:pt>
                <c:pt idx="656">
                  <c:v>721.50606245231938</c:v>
                </c:pt>
                <c:pt idx="657">
                  <c:v>710.9336270472977</c:v>
                </c:pt>
                <c:pt idx="658">
                  <c:v>700.29725166773028</c:v>
                </c:pt>
                <c:pt idx="659">
                  <c:v>689.59737249379248</c:v>
                </c:pt>
                <c:pt idx="660">
                  <c:v>678.83442646252684</c:v>
                </c:pt>
                <c:pt idx="661">
                  <c:v>668.00885122101545</c:v>
                </c:pt>
                <c:pt idx="662">
                  <c:v>657.12108507978587</c:v>
                </c:pt>
                <c:pt idx="663">
                  <c:v>646.17156696645918</c:v>
                </c:pt>
                <c:pt idx="664">
                  <c:v>635.16073637964701</c:v>
                </c:pt>
                <c:pt idx="665">
                  <c:v>624.08903334310719</c:v>
                </c:pt>
                <c:pt idx="666">
                  <c:v>612.95689836016402</c:v>
                </c:pt>
                <c:pt idx="667">
                  <c:v>601.7647723684023</c:v>
                </c:pt>
                <c:pt idx="668">
                  <c:v>590.51309669464183</c:v>
                </c:pt>
                <c:pt idx="669">
                  <c:v>579.20231301019999</c:v>
                </c:pt>
                <c:pt idx="670">
                  <c:v>567.83286328644908</c:v>
                </c:pt>
                <c:pt idx="671">
                  <c:v>556.40518975067675</c:v>
                </c:pt>
                <c:pt idx="672">
                  <c:v>544.91973484225434</c:v>
                </c:pt>
                <c:pt idx="673">
                  <c:v>533.37694116912189</c:v>
                </c:pt>
                <c:pt idx="674">
                  <c:v>521.777251464595</c:v>
                </c:pt>
                <c:pt idx="675">
                  <c:v>510.12110854450066</c:v>
                </c:pt>
                <c:pt idx="676">
                  <c:v>498.40895526464777</c:v>
                </c:pt>
                <c:pt idx="677">
                  <c:v>486.64123447863886</c:v>
                </c:pt>
                <c:pt idx="678">
                  <c:v>474.81838899602866</c:v>
                </c:pt>
                <c:pt idx="679">
                  <c:v>462.94086154083533</c:v>
                </c:pt>
                <c:pt idx="680">
                  <c:v>451.00909471041007</c:v>
                </c:pt>
                <c:pt idx="681">
                  <c:v>439.0235309346703</c:v>
                </c:pt>
                <c:pt idx="682">
                  <c:v>426.98461243570188</c:v>
                </c:pt>
                <c:pt idx="683">
                  <c:v>414.89278118773547</c:v>
                </c:pt>
                <c:pt idx="684">
                  <c:v>402.74847887750173</c:v>
                </c:pt>
                <c:pt idx="685">
                  <c:v>390.55214686497084</c:v>
                </c:pt>
                <c:pt idx="686">
                  <c:v>378.30422614447986</c:v>
                </c:pt>
                <c:pt idx="687">
                  <c:v>366.00515730625358</c:v>
                </c:pt>
                <c:pt idx="688">
                  <c:v>353.65538049832236</c:v>
                </c:pt>
                <c:pt idx="689">
                  <c:v>341.25533538884144</c:v>
                </c:pt>
                <c:pt idx="690">
                  <c:v>328.80546112881586</c:v>
                </c:pt>
                <c:pt idx="691">
                  <c:v>316.30619631523427</c:v>
                </c:pt>
                <c:pt idx="692">
                  <c:v>303.75797895461619</c:v>
                </c:pt>
                <c:pt idx="693">
                  <c:v>291.16124642697525</c:v>
                </c:pt>
                <c:pt idx="694">
                  <c:v>278.51643545020278</c:v>
                </c:pt>
                <c:pt idx="695">
                  <c:v>265.82398204487407</c:v>
                </c:pt>
                <c:pt idx="696">
                  <c:v>253.08432149948104</c:v>
                </c:pt>
                <c:pt idx="697">
                  <c:v>240.29788833609382</c:v>
                </c:pt>
                <c:pt idx="698">
                  <c:v>227.46511627645418</c:v>
                </c:pt>
                <c:pt idx="699">
                  <c:v>214.58643820850341</c:v>
                </c:pt>
                <c:pt idx="700">
                  <c:v>201.662286153347</c:v>
                </c:pt>
                <c:pt idx="701">
                  <c:v>188.69309123265856</c:v>
                </c:pt>
                <c:pt idx="702">
                  <c:v>175.67928363652499</c:v>
                </c:pt>
                <c:pt idx="703">
                  <c:v>162.62129259173506</c:v>
                </c:pt>
                <c:pt idx="704">
                  <c:v>149.51954633051318</c:v>
                </c:pt>
                <c:pt idx="705">
                  <c:v>136.37447205970003</c:v>
                </c:pt>
                <c:pt idx="706">
                  <c:v>123.18649593038171</c:v>
                </c:pt>
                <c:pt idx="707">
                  <c:v>109.9560430079688</c:v>
                </c:pt>
                <c:pt idx="708">
                  <c:v>96.683537242726644</c:v>
                </c:pt>
                <c:pt idx="709">
                  <c:v>83.369401440757926</c:v>
                </c:pt>
                <c:pt idx="710">
                  <c:v>70.014057235438656</c:v>
                </c:pt>
                <c:pt idx="711">
                  <c:v>56.617925059308376</c:v>
                </c:pt>
                <c:pt idx="712">
                  <c:v>43.181424116415315</c:v>
                </c:pt>
                <c:pt idx="713">
                  <c:v>29.704972355117114</c:v>
                </c:pt>
                <c:pt idx="714">
                  <c:v>16.18898644133759</c:v>
                </c:pt>
                <c:pt idx="715">
                  <c:v>2.6338817322798747</c:v>
                </c:pt>
                <c:pt idx="716">
                  <c:v>-10.95992774940386</c:v>
                </c:pt>
                <c:pt idx="717">
                  <c:v>-10.973540826977674</c:v>
                </c:pt>
                <c:pt idx="718">
                  <c:v>-10.987153942637404</c:v>
                </c:pt>
                <c:pt idx="719">
                  <c:v>-11.000767096382642</c:v>
                </c:pt>
                <c:pt idx="720">
                  <c:v>-11.014380288212978</c:v>
                </c:pt>
                <c:pt idx="721">
                  <c:v>-11.027993518128003</c:v>
                </c:pt>
                <c:pt idx="722">
                  <c:v>-11.041606786127307</c:v>
                </c:pt>
                <c:pt idx="723">
                  <c:v>-11.05522009221048</c:v>
                </c:pt>
                <c:pt idx="724">
                  <c:v>-11.068833436377112</c:v>
                </c:pt>
                <c:pt idx="725">
                  <c:v>-11.082446818626796</c:v>
                </c:pt>
                <c:pt idx="726">
                  <c:v>-11.096060238959121</c:v>
                </c:pt>
                <c:pt idx="727">
                  <c:v>-11.109673697373676</c:v>
                </c:pt>
                <c:pt idx="728">
                  <c:v>-11.123287193870054</c:v>
                </c:pt>
                <c:pt idx="729">
                  <c:v>-11.136900728447845</c:v>
                </c:pt>
                <c:pt idx="730">
                  <c:v>-11.150514301106639</c:v>
                </c:pt>
                <c:pt idx="731">
                  <c:v>-11.164127911846027</c:v>
                </c:pt>
                <c:pt idx="732">
                  <c:v>-11.177741560665599</c:v>
                </c:pt>
                <c:pt idx="733">
                  <c:v>-11.191355247564946</c:v>
                </c:pt>
                <c:pt idx="734">
                  <c:v>-11.204968972543657</c:v>
                </c:pt>
                <c:pt idx="735">
                  <c:v>-11.218582735601325</c:v>
                </c:pt>
                <c:pt idx="736">
                  <c:v>-11.23219653673754</c:v>
                </c:pt>
                <c:pt idx="737">
                  <c:v>-11.245810375951891</c:v>
                </c:pt>
                <c:pt idx="738">
                  <c:v>-11.259424253243969</c:v>
                </c:pt>
                <c:pt idx="739">
                  <c:v>-11.273038168613365</c:v>
                </c:pt>
                <c:pt idx="740">
                  <c:v>-11.286652122059669</c:v>
                </c:pt>
                <c:pt idx="741">
                  <c:v>-11.300266113582474</c:v>
                </c:pt>
                <c:pt idx="742">
                  <c:v>-11.313880143181368</c:v>
                </c:pt>
                <c:pt idx="743">
                  <c:v>-11.327494210855942</c:v>
                </c:pt>
                <c:pt idx="744">
                  <c:v>-11.341108316605787</c:v>
                </c:pt>
                <c:pt idx="745">
                  <c:v>-11.354722460430493</c:v>
                </c:pt>
                <c:pt idx="746">
                  <c:v>-11.36833664232965</c:v>
                </c:pt>
                <c:pt idx="747">
                  <c:v>-11.381950862302851</c:v>
                </c:pt>
                <c:pt idx="748">
                  <c:v>-11.395565120349683</c:v>
                </c:pt>
                <c:pt idx="749">
                  <c:v>-11.40917941646974</c:v>
                </c:pt>
                <c:pt idx="750">
                  <c:v>-11.422793750662612</c:v>
                </c:pt>
                <c:pt idx="751">
                  <c:v>-11.436408122927887</c:v>
                </c:pt>
                <c:pt idx="752">
                  <c:v>-11.450022533265157</c:v>
                </c:pt>
                <c:pt idx="753">
                  <c:v>-11.463636981674012</c:v>
                </c:pt>
                <c:pt idx="754">
                  <c:v>-11.477251468154044</c:v>
                </c:pt>
                <c:pt idx="755">
                  <c:v>-11.490865992704844</c:v>
                </c:pt>
                <c:pt idx="756">
                  <c:v>-11.504480555326001</c:v>
                </c:pt>
                <c:pt idx="757">
                  <c:v>-11.518095156017106</c:v>
                </c:pt>
                <c:pt idx="758">
                  <c:v>-11.531709794777749</c:v>
                </c:pt>
                <c:pt idx="759">
                  <c:v>-11.545324471607522</c:v>
                </c:pt>
                <c:pt idx="760">
                  <c:v>-11.558939186506015</c:v>
                </c:pt>
                <c:pt idx="761">
                  <c:v>-11.572553939472817</c:v>
                </c:pt>
                <c:pt idx="762">
                  <c:v>-11.58616873050752</c:v>
                </c:pt>
                <c:pt idx="763">
                  <c:v>-11.599783559609715</c:v>
                </c:pt>
                <c:pt idx="764">
                  <c:v>-11.613398426778993</c:v>
                </c:pt>
                <c:pt idx="765">
                  <c:v>-11.627013332014942</c:v>
                </c:pt>
                <c:pt idx="766">
                  <c:v>-11.640628275317153</c:v>
                </c:pt>
                <c:pt idx="767">
                  <c:v>-11.65424325668522</c:v>
                </c:pt>
                <c:pt idx="768">
                  <c:v>-11.66785827611873</c:v>
                </c:pt>
                <c:pt idx="769">
                  <c:v>-11.681473333617276</c:v>
                </c:pt>
                <c:pt idx="770">
                  <c:v>-11.695088429180448</c:v>
                </c:pt>
                <c:pt idx="771">
                  <c:v>-11.708703562807834</c:v>
                </c:pt>
                <c:pt idx="772">
                  <c:v>-11.722318734499028</c:v>
                </c:pt>
                <c:pt idx="773">
                  <c:v>-11.735933944253619</c:v>
                </c:pt>
                <c:pt idx="774">
                  <c:v>-11.749549192071198</c:v>
                </c:pt>
                <c:pt idx="775">
                  <c:v>-11.763164477951355</c:v>
                </c:pt>
                <c:pt idx="776">
                  <c:v>-11.776779801893682</c:v>
                </c:pt>
                <c:pt idx="777">
                  <c:v>-11.790395163897767</c:v>
                </c:pt>
                <c:pt idx="778">
                  <c:v>-11.804010563963203</c:v>
                </c:pt>
                <c:pt idx="779">
                  <c:v>-11.817626002089581</c:v>
                </c:pt>
                <c:pt idx="780">
                  <c:v>-11.831241478276489</c:v>
                </c:pt>
                <c:pt idx="781">
                  <c:v>-11.844856992523519</c:v>
                </c:pt>
                <c:pt idx="782">
                  <c:v>-11.858472544830262</c:v>
                </c:pt>
                <c:pt idx="783">
                  <c:v>-11.872088135196307</c:v>
                </c:pt>
                <c:pt idx="784">
                  <c:v>-11.885703763621247</c:v>
                </c:pt>
                <c:pt idx="785">
                  <c:v>-11.899319430104672</c:v>
                </c:pt>
                <c:pt idx="786">
                  <c:v>-11.912935134646171</c:v>
                </c:pt>
                <c:pt idx="787">
                  <c:v>-11.926550877245335</c:v>
                </c:pt>
                <c:pt idx="788">
                  <c:v>-11.940166657901756</c:v>
                </c:pt>
                <c:pt idx="789">
                  <c:v>-11.953782476615023</c:v>
                </c:pt>
                <c:pt idx="790">
                  <c:v>-11.967398333384729</c:v>
                </c:pt>
                <c:pt idx="791">
                  <c:v>-11.981014228210462</c:v>
                </c:pt>
                <c:pt idx="792">
                  <c:v>-11.994630161091814</c:v>
                </c:pt>
                <c:pt idx="793">
                  <c:v>-12.008246132028376</c:v>
                </c:pt>
                <c:pt idx="794">
                  <c:v>-12.021862141019737</c:v>
                </c:pt>
                <c:pt idx="795">
                  <c:v>-12.03547818806549</c:v>
                </c:pt>
                <c:pt idx="796">
                  <c:v>-12.049094273165222</c:v>
                </c:pt>
                <c:pt idx="797">
                  <c:v>-12.062710396318527</c:v>
                </c:pt>
                <c:pt idx="798">
                  <c:v>-12.076326557524995</c:v>
                </c:pt>
                <c:pt idx="799">
                  <c:v>-12.089942756784216</c:v>
                </c:pt>
                <c:pt idx="800">
                  <c:v>-12.103558994095781</c:v>
                </c:pt>
                <c:pt idx="801">
                  <c:v>-12.117175269459279</c:v>
                </c:pt>
                <c:pt idx="802">
                  <c:v>-12.130791582874302</c:v>
                </c:pt>
                <c:pt idx="803">
                  <c:v>-12.144407934340441</c:v>
                </c:pt>
                <c:pt idx="804">
                  <c:v>-12.158024323857285</c:v>
                </c:pt>
                <c:pt idx="805">
                  <c:v>-12.171640751424427</c:v>
                </c:pt>
                <c:pt idx="806">
                  <c:v>-12.185257217041457</c:v>
                </c:pt>
                <c:pt idx="807">
                  <c:v>-12.198873720707965</c:v>
                </c:pt>
                <c:pt idx="808">
                  <c:v>-12.212490262423541</c:v>
                </c:pt>
                <c:pt idx="809">
                  <c:v>-12.226106842187777</c:v>
                </c:pt>
                <c:pt idx="810">
                  <c:v>-12.239723460000263</c:v>
                </c:pt>
                <c:pt idx="811">
                  <c:v>-12.25334011586059</c:v>
                </c:pt>
                <c:pt idx="812">
                  <c:v>-12.266956809768349</c:v>
                </c:pt>
                <c:pt idx="813">
                  <c:v>-12.280573541723129</c:v>
                </c:pt>
                <c:pt idx="814">
                  <c:v>-12.294190311724522</c:v>
                </c:pt>
                <c:pt idx="815">
                  <c:v>-12.307807119772118</c:v>
                </c:pt>
                <c:pt idx="816">
                  <c:v>-12.321423965865508</c:v>
                </c:pt>
                <c:pt idx="817">
                  <c:v>-12.335040850004281</c:v>
                </c:pt>
                <c:pt idx="818">
                  <c:v>-12.34865777218803</c:v>
                </c:pt>
                <c:pt idx="819">
                  <c:v>-12.362274732416346</c:v>
                </c:pt>
                <c:pt idx="820">
                  <c:v>-12.375891730688817</c:v>
                </c:pt>
                <c:pt idx="821">
                  <c:v>-12.389508767005037</c:v>
                </c:pt>
                <c:pt idx="822">
                  <c:v>-12.403125841364593</c:v>
                </c:pt>
                <c:pt idx="823">
                  <c:v>-12.416742953767079</c:v>
                </c:pt>
                <c:pt idx="824">
                  <c:v>-12.430360104212083</c:v>
                </c:pt>
                <c:pt idx="825">
                  <c:v>-12.443977292699197</c:v>
                </c:pt>
                <c:pt idx="826">
                  <c:v>-12.457594519228012</c:v>
                </c:pt>
                <c:pt idx="827">
                  <c:v>-12.471211783798118</c:v>
                </c:pt>
                <c:pt idx="828">
                  <c:v>-12.484829086409105</c:v>
                </c:pt>
                <c:pt idx="829">
                  <c:v>-12.498446427060564</c:v>
                </c:pt>
                <c:pt idx="830">
                  <c:v>-12.512063805752087</c:v>
                </c:pt>
                <c:pt idx="831">
                  <c:v>-12.525681222483264</c:v>
                </c:pt>
                <c:pt idx="832">
                  <c:v>-12.539298677253685</c:v>
                </c:pt>
                <c:pt idx="833">
                  <c:v>-12.552916170062941</c:v>
                </c:pt>
                <c:pt idx="834">
                  <c:v>-12.566533700910623</c:v>
                </c:pt>
                <c:pt idx="835">
                  <c:v>-12.580151269796323</c:v>
                </c:pt>
                <c:pt idx="836">
                  <c:v>-12.593768876719629</c:v>
                </c:pt>
                <c:pt idx="837">
                  <c:v>-12.607386521680134</c:v>
                </c:pt>
                <c:pt idx="838">
                  <c:v>-12.621004204677426</c:v>
                </c:pt>
                <c:pt idx="839">
                  <c:v>-12.634621925711098</c:v>
                </c:pt>
                <c:pt idx="840">
                  <c:v>-12.648239684780739</c:v>
                </c:pt>
                <c:pt idx="841">
                  <c:v>-12.66185748188594</c:v>
                </c:pt>
                <c:pt idx="842">
                  <c:v>-12.675475317026294</c:v>
                </c:pt>
                <c:pt idx="843">
                  <c:v>-12.689093190201389</c:v>
                </c:pt>
                <c:pt idx="844">
                  <c:v>-12.702711101410816</c:v>
                </c:pt>
                <c:pt idx="845">
                  <c:v>-12.716329050654167</c:v>
                </c:pt>
                <c:pt idx="846">
                  <c:v>-12.729947037931032</c:v>
                </c:pt>
                <c:pt idx="847">
                  <c:v>-12.743565063241002</c:v>
                </c:pt>
                <c:pt idx="848">
                  <c:v>-12.757183126583667</c:v>
                </c:pt>
                <c:pt idx="849">
                  <c:v>-12.77080122795862</c:v>
                </c:pt>
                <c:pt idx="850">
                  <c:v>-12.784419367365448</c:v>
                </c:pt>
                <c:pt idx="851">
                  <c:v>-12.798037544803744</c:v>
                </c:pt>
                <c:pt idx="852">
                  <c:v>-12.811655760273098</c:v>
                </c:pt>
                <c:pt idx="853">
                  <c:v>-12.8252740137731</c:v>
                </c:pt>
                <c:pt idx="854">
                  <c:v>-12.838892305303343</c:v>
                </c:pt>
                <c:pt idx="855">
                  <c:v>-12.852510634863416</c:v>
                </c:pt>
                <c:pt idx="856">
                  <c:v>-12.86612900245291</c:v>
                </c:pt>
                <c:pt idx="857">
                  <c:v>-12.879747408071415</c:v>
                </c:pt>
                <c:pt idx="858">
                  <c:v>-12.893365851718523</c:v>
                </c:pt>
                <c:pt idx="859">
                  <c:v>-12.906984333393824</c:v>
                </c:pt>
                <c:pt idx="860">
                  <c:v>-12.920602853096909</c:v>
                </c:pt>
                <c:pt idx="861">
                  <c:v>-12.934221410827368</c:v>
                </c:pt>
                <c:pt idx="862">
                  <c:v>-12.947840006584793</c:v>
                </c:pt>
                <c:pt idx="863">
                  <c:v>-12.961458640368773</c:v>
                </c:pt>
                <c:pt idx="864">
                  <c:v>-12.9750773121789</c:v>
                </c:pt>
                <c:pt idx="865">
                  <c:v>-12.988696022014764</c:v>
                </c:pt>
                <c:pt idx="866">
                  <c:v>-13.002314769875957</c:v>
                </c:pt>
                <c:pt idx="867">
                  <c:v>-13.015933555762068</c:v>
                </c:pt>
                <c:pt idx="868">
                  <c:v>-13.029552379672689</c:v>
                </c:pt>
                <c:pt idx="869">
                  <c:v>-13.043171241607411</c:v>
                </c:pt>
                <c:pt idx="870">
                  <c:v>-13.056790141565823</c:v>
                </c:pt>
                <c:pt idx="871">
                  <c:v>-13.070409079547517</c:v>
                </c:pt>
                <c:pt idx="872">
                  <c:v>-13.084028055552084</c:v>
                </c:pt>
                <c:pt idx="873">
                  <c:v>-13.097647069579114</c:v>
                </c:pt>
                <c:pt idx="874">
                  <c:v>-13.111266121628198</c:v>
                </c:pt>
                <c:pt idx="875">
                  <c:v>-13.124885211698926</c:v>
                </c:pt>
                <c:pt idx="876">
                  <c:v>-13.13850433979089</c:v>
                </c:pt>
                <c:pt idx="877">
                  <c:v>-13.152123505903679</c:v>
                </c:pt>
                <c:pt idx="878">
                  <c:v>-13.165742710036886</c:v>
                </c:pt>
                <c:pt idx="879">
                  <c:v>-13.179361952190101</c:v>
                </c:pt>
                <c:pt idx="880">
                  <c:v>-13.192981232362914</c:v>
                </c:pt>
                <c:pt idx="881">
                  <c:v>-13.206600550554915</c:v>
                </c:pt>
                <c:pt idx="882">
                  <c:v>-13.220219906765697</c:v>
                </c:pt>
                <c:pt idx="883">
                  <c:v>-13.23383930099485</c:v>
                </c:pt>
                <c:pt idx="884">
                  <c:v>-13.247458733241963</c:v>
                </c:pt>
                <c:pt idx="885">
                  <c:v>-13.261078203506628</c:v>
                </c:pt>
                <c:pt idx="886">
                  <c:v>-13.274697711788436</c:v>
                </c:pt>
                <c:pt idx="887">
                  <c:v>-13.288317258086977</c:v>
                </c:pt>
                <c:pt idx="888">
                  <c:v>-13.301936842401842</c:v>
                </c:pt>
                <c:pt idx="889">
                  <c:v>-13.315556464732623</c:v>
                </c:pt>
                <c:pt idx="890">
                  <c:v>-13.329176125078909</c:v>
                </c:pt>
                <c:pt idx="891">
                  <c:v>-13.342795823440293</c:v>
                </c:pt>
                <c:pt idx="892">
                  <c:v>-13.356415559816364</c:v>
                </c:pt>
                <c:pt idx="893">
                  <c:v>-13.370035334206714</c:v>
                </c:pt>
                <c:pt idx="894">
                  <c:v>-13.383655146610931</c:v>
                </c:pt>
                <c:pt idx="895">
                  <c:v>-13.397274997028608</c:v>
                </c:pt>
                <c:pt idx="896">
                  <c:v>-13.410894885459335</c:v>
                </c:pt>
                <c:pt idx="897">
                  <c:v>-13.424514811902704</c:v>
                </c:pt>
                <c:pt idx="898">
                  <c:v>-13.438134776358304</c:v>
                </c:pt>
                <c:pt idx="899">
                  <c:v>-13.451754778825727</c:v>
                </c:pt>
                <c:pt idx="900">
                  <c:v>-13.465374819304563</c:v>
                </c:pt>
                <c:pt idx="901">
                  <c:v>-13.478994897794403</c:v>
                </c:pt>
                <c:pt idx="902">
                  <c:v>-13.492615014294838</c:v>
                </c:pt>
                <c:pt idx="903">
                  <c:v>-13.506235168805459</c:v>
                </c:pt>
                <c:pt idx="904">
                  <c:v>-13.519855361325856</c:v>
                </c:pt>
                <c:pt idx="905">
                  <c:v>-13.533475591855622</c:v>
                </c:pt>
                <c:pt idx="906">
                  <c:v>-13.547095860394345</c:v>
                </c:pt>
                <c:pt idx="907">
                  <c:v>-13.560716166941617</c:v>
                </c:pt>
                <c:pt idx="908">
                  <c:v>-13.574336511497028</c:v>
                </c:pt>
                <c:pt idx="909">
                  <c:v>-13.58795689406017</c:v>
                </c:pt>
                <c:pt idx="910">
                  <c:v>-13.601577314630633</c:v>
                </c:pt>
                <c:pt idx="911">
                  <c:v>-13.615197773208008</c:v>
                </c:pt>
                <c:pt idx="912">
                  <c:v>-13.628818269791886</c:v>
                </c:pt>
                <c:pt idx="913">
                  <c:v>-13.642438804381856</c:v>
                </c:pt>
                <c:pt idx="914">
                  <c:v>-13.656059376977511</c:v>
                </c:pt>
                <c:pt idx="915">
                  <c:v>-13.669679987578441</c:v>
                </c:pt>
                <c:pt idx="916">
                  <c:v>-13.683300636184237</c:v>
                </c:pt>
                <c:pt idx="917">
                  <c:v>-13.696921322794489</c:v>
                </c:pt>
                <c:pt idx="918">
                  <c:v>-13.71054204740879</c:v>
                </c:pt>
                <c:pt idx="919">
                  <c:v>-13.724162810026728</c:v>
                </c:pt>
                <c:pt idx="920">
                  <c:v>-13.737783610647895</c:v>
                </c:pt>
                <c:pt idx="921">
                  <c:v>-13.751404449271883</c:v>
                </c:pt>
                <c:pt idx="922">
                  <c:v>-13.76502532589828</c:v>
                </c:pt>
                <c:pt idx="923">
                  <c:v>-13.77864624052668</c:v>
                </c:pt>
                <c:pt idx="924">
                  <c:v>-13.79226719315667</c:v>
                </c:pt>
                <c:pt idx="925">
                  <c:v>-13.805888183787845</c:v>
                </c:pt>
                <c:pt idx="926">
                  <c:v>-13.819509212419794</c:v>
                </c:pt>
                <c:pt idx="927">
                  <c:v>-13.833130279052106</c:v>
                </c:pt>
                <c:pt idx="928">
                  <c:v>-13.846751383684374</c:v>
                </c:pt>
                <c:pt idx="929">
                  <c:v>-13.860372526316189</c:v>
                </c:pt>
                <c:pt idx="930">
                  <c:v>-13.87399370694714</c:v>
                </c:pt>
                <c:pt idx="931">
                  <c:v>-13.887614925576818</c:v>
                </c:pt>
                <c:pt idx="932">
                  <c:v>-13.901236182204816</c:v>
                </c:pt>
                <c:pt idx="933">
                  <c:v>-13.914857476830722</c:v>
                </c:pt>
                <c:pt idx="934">
                  <c:v>-13.928478809454129</c:v>
                </c:pt>
                <c:pt idx="935">
                  <c:v>-13.942100180074627</c:v>
                </c:pt>
                <c:pt idx="936">
                  <c:v>-13.955721588691807</c:v>
                </c:pt>
                <c:pt idx="937">
                  <c:v>-13.969343035305259</c:v>
                </c:pt>
                <c:pt idx="938">
                  <c:v>-13.982964519914576</c:v>
                </c:pt>
                <c:pt idx="939">
                  <c:v>-13.996586042519347</c:v>
                </c:pt>
                <c:pt idx="940">
                  <c:v>-14.010207603119163</c:v>
                </c:pt>
                <c:pt idx="941">
                  <c:v>-14.023829201713616</c:v>
                </c:pt>
                <c:pt idx="942">
                  <c:v>-14.037450838302295</c:v>
                </c:pt>
                <c:pt idx="943">
                  <c:v>-14.051072512884792</c:v>
                </c:pt>
                <c:pt idx="944">
                  <c:v>-14.064694225460697</c:v>
                </c:pt>
                <c:pt idx="945">
                  <c:v>-14.078315976029602</c:v>
                </c:pt>
                <c:pt idx="946">
                  <c:v>-14.091937764591096</c:v>
                </c:pt>
                <c:pt idx="947">
                  <c:v>-14.105559591144772</c:v>
                </c:pt>
                <c:pt idx="948">
                  <c:v>-14.119181455690219</c:v>
                </c:pt>
                <c:pt idx="949">
                  <c:v>-14.132803358227029</c:v>
                </c:pt>
                <c:pt idx="950">
                  <c:v>-14.146425298754792</c:v>
                </c:pt>
                <c:pt idx="951">
                  <c:v>-14.160047277273101</c:v>
                </c:pt>
                <c:pt idx="952">
                  <c:v>-14.173669293781543</c:v>
                </c:pt>
                <c:pt idx="953">
                  <c:v>-14.187291348279713</c:v>
                </c:pt>
                <c:pt idx="954">
                  <c:v>-14.200913440767199</c:v>
                </c:pt>
                <c:pt idx="955">
                  <c:v>-14.214535571243593</c:v>
                </c:pt>
                <c:pt idx="956">
                  <c:v>-14.228157739708484</c:v>
                </c:pt>
                <c:pt idx="957">
                  <c:v>-14.241779946161465</c:v>
                </c:pt>
                <c:pt idx="958">
                  <c:v>-14.255402190602126</c:v>
                </c:pt>
                <c:pt idx="959">
                  <c:v>-14.269024473030059</c:v>
                </c:pt>
                <c:pt idx="960">
                  <c:v>-14.282646793444854</c:v>
                </c:pt>
                <c:pt idx="961">
                  <c:v>-14.296269151846102</c:v>
                </c:pt>
                <c:pt idx="962">
                  <c:v>-14.309891548233393</c:v>
                </c:pt>
                <c:pt idx="963">
                  <c:v>-14.323513982606318</c:v>
                </c:pt>
                <c:pt idx="964">
                  <c:v>-14.337136454964469</c:v>
                </c:pt>
                <c:pt idx="965">
                  <c:v>-14.350758965307437</c:v>
                </c:pt>
                <c:pt idx="966">
                  <c:v>-14.364381513634811</c:v>
                </c:pt>
                <c:pt idx="967">
                  <c:v>-14.378004099946184</c:v>
                </c:pt>
                <c:pt idx="968">
                  <c:v>-14.391626724241144</c:v>
                </c:pt>
                <c:pt idx="969">
                  <c:v>-14.405249386519284</c:v>
                </c:pt>
                <c:pt idx="970">
                  <c:v>-14.418872086780194</c:v>
                </c:pt>
                <c:pt idx="971">
                  <c:v>-14.432494825023467</c:v>
                </c:pt>
                <c:pt idx="972">
                  <c:v>-14.446117601248691</c:v>
                </c:pt>
                <c:pt idx="973">
                  <c:v>-14.459740415455459</c:v>
                </c:pt>
                <c:pt idx="974">
                  <c:v>-14.473363267643361</c:v>
                </c:pt>
                <c:pt idx="975">
                  <c:v>-14.486986157811987</c:v>
                </c:pt>
                <c:pt idx="976">
                  <c:v>-14.50060908596093</c:v>
                </c:pt>
                <c:pt idx="977">
                  <c:v>-14.514232052089778</c:v>
                </c:pt>
                <c:pt idx="978">
                  <c:v>-14.527855056198124</c:v>
                </c:pt>
                <c:pt idx="979">
                  <c:v>-14.541478098285559</c:v>
                </c:pt>
                <c:pt idx="980">
                  <c:v>-14.555101178351673</c:v>
                </c:pt>
                <c:pt idx="981">
                  <c:v>-14.568724296396057</c:v>
                </c:pt>
                <c:pt idx="982">
                  <c:v>-14.582347452418302</c:v>
                </c:pt>
                <c:pt idx="983">
                  <c:v>-14.595970646417999</c:v>
                </c:pt>
                <c:pt idx="984">
                  <c:v>-14.609593878394739</c:v>
                </c:pt>
                <c:pt idx="985">
                  <c:v>-14.623217148348111</c:v>
                </c:pt>
                <c:pt idx="986">
                  <c:v>-14.636840456277708</c:v>
                </c:pt>
                <c:pt idx="987">
                  <c:v>-14.650463802183122</c:v>
                </c:pt>
                <c:pt idx="988">
                  <c:v>-14.664087186063941</c:v>
                </c:pt>
                <c:pt idx="989">
                  <c:v>-14.677710607919758</c:v>
                </c:pt>
                <c:pt idx="990">
                  <c:v>-14.691334067750162</c:v>
                </c:pt>
                <c:pt idx="991">
                  <c:v>-14.704957565554746</c:v>
                </c:pt>
                <c:pt idx="992">
                  <c:v>-14.7185811013331</c:v>
                </c:pt>
                <c:pt idx="993">
                  <c:v>-14.732204675084814</c:v>
                </c:pt>
                <c:pt idx="994">
                  <c:v>-14.745828286809481</c:v>
                </c:pt>
                <c:pt idx="995">
                  <c:v>-14.759451936506689</c:v>
                </c:pt>
                <c:pt idx="996">
                  <c:v>-14.77307562417603</c:v>
                </c:pt>
                <c:pt idx="997">
                  <c:v>-14.786699349817097</c:v>
                </c:pt>
                <c:pt idx="998">
                  <c:v>-14.800323113429478</c:v>
                </c:pt>
                <c:pt idx="999">
                  <c:v>-14.813946915012766</c:v>
                </c:pt>
                <c:pt idx="1000">
                  <c:v>-14.827570754566549</c:v>
                </c:pt>
              </c:numCache>
            </c:numRef>
          </c:yVal>
          <c:smooth val="1"/>
          <c:extLst>
            <c:ext xmlns:c16="http://schemas.microsoft.com/office/drawing/2014/chart" uri="{C3380CC4-5D6E-409C-BE32-E72D297353CC}">
              <c16:uniqueId val="{00000002-93D4-48A2-9F65-FF2CAA52DF8C}"/>
            </c:ext>
          </c:extLst>
        </c:ser>
        <c:ser>
          <c:idx val="2"/>
          <c:order val="3"/>
          <c:tx>
            <c:strRef>
              <c:f>Trajecto!$B$108</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93D4-48A2-9F65-FF2CAA52DF8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Trajecto!$B$131:$B$137</c:f>
              <c:numCache>
                <c:formatCode>0.0</c:formatCode>
                <c:ptCount val="7"/>
                <c:pt idx="0">
                  <c:v>16</c:v>
                </c:pt>
                <c:pt idx="1">
                  <c:v>46.495543935329003</c:v>
                </c:pt>
                <c:pt idx="2">
                  <c:v>76.991087870658006</c:v>
                </c:pt>
                <c:pt idx="3">
                  <c:v>75.950913759281519</c:v>
                </c:pt>
                <c:pt idx="4">
                  <c:v>76.991087870658006</c:v>
                </c:pt>
                <c:pt idx="5">
                  <c:v>72.390913759281489</c:v>
                </c:pt>
                <c:pt idx="6">
                  <c:v>76.991087870658006</c:v>
                </c:pt>
              </c:numCache>
            </c:numRef>
          </c:xVal>
          <c:yVal>
            <c:numRef>
              <c:f>Trajecto!$C$129:$C$135</c:f>
              <c:numCache>
                <c:formatCode>0</c:formatCode>
                <c:ptCount val="7"/>
                <c:pt idx="0">
                  <c:v>1407.4995786941179</c:v>
                </c:pt>
                <c:pt idx="1">
                  <c:v>703.74978934705894</c:v>
                </c:pt>
                <c:pt idx="2">
                  <c:v>0</c:v>
                </c:pt>
                <c:pt idx="3">
                  <c:v>91.365658205941187</c:v>
                </c:pt>
                <c:pt idx="4">
                  <c:v>0</c:v>
                </c:pt>
                <c:pt idx="5">
                  <c:v>39.522086643875767</c:v>
                </c:pt>
                <c:pt idx="6">
                  <c:v>0</c:v>
                </c:pt>
              </c:numCache>
            </c:numRef>
          </c:yVal>
          <c:smooth val="0"/>
          <c:extLst>
            <c:ext xmlns:c16="http://schemas.microsoft.com/office/drawing/2014/chart" uri="{C3380CC4-5D6E-409C-BE32-E72D297353CC}">
              <c16:uniqueId val="{00000004-93D4-48A2-9F65-FF2CAA52DF8C}"/>
            </c:ext>
          </c:extLst>
        </c:ser>
        <c:ser>
          <c:idx val="3"/>
          <c:order val="4"/>
          <c:tx>
            <c:strRef>
              <c:f>Trajecto!$B$109</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93D4-48A2-9F65-FF2CAA52DF8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Trajecto!$B$148:$B$154</c:f>
              <c:numCache>
                <c:formatCode>0.0</c:formatCode>
                <c:ptCount val="7"/>
                <c:pt idx="0">
                  <c:v>0</c:v>
                </c:pt>
                <c:pt idx="1">
                  <c:v>0</c:v>
                </c:pt>
                <c:pt idx="2">
                  <c:v>0</c:v>
                </c:pt>
                <c:pt idx="3">
                  <c:v>0</c:v>
                </c:pt>
                <c:pt idx="4">
                  <c:v>0</c:v>
                </c:pt>
                <c:pt idx="5">
                  <c:v>0</c:v>
                </c:pt>
                <c:pt idx="6">
                  <c:v>0</c:v>
                </c:pt>
              </c:numCache>
            </c:numRef>
          </c:xVal>
          <c:yVal>
            <c:numRef>
              <c:f>Trajecto!$C$146:$C$152</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93D4-48A2-9F65-FF2CAA52DF8C}"/>
            </c:ext>
          </c:extLst>
        </c:ser>
        <c:ser>
          <c:idx val="5"/>
          <c:order val="5"/>
          <c:tx>
            <c:strRef>
              <c:f>Trajecto!$B$106</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Calculs!$AE$4:$AE$1004</c:f>
              <c:numCache>
                <c:formatCode>0</c:formatCode>
                <c:ptCount val="1001"/>
                <c:pt idx="0">
                  <c:v>0</c:v>
                </c:pt>
                <c:pt idx="1">
                  <c:v>0</c:v>
                </c:pt>
                <c:pt idx="2">
                  <c:v>8.8659929951468331E-4</c:v>
                </c:pt>
                <c:pt idx="3">
                  <c:v>4.4551282218210728E-3</c:v>
                </c:pt>
                <c:pt idx="4">
                  <c:v>1.252376084757101E-2</c:v>
                </c:pt>
                <c:pt idx="5">
                  <c:v>2.6912343102871397E-2</c:v>
                </c:pt>
                <c:pt idx="6">
                  <c:v>4.8982521190609973E-2</c:v>
                </c:pt>
                <c:pt idx="7">
                  <c:v>7.9176829171388755E-2</c:v>
                </c:pt>
                <c:pt idx="8">
                  <c:v>0.11747781638166428</c:v>
                </c:pt>
                <c:pt idx="9">
                  <c:v>0.16386796803219167</c:v>
                </c:pt>
                <c:pt idx="10">
                  <c:v>0.21832970542708824</c:v>
                </c:pt>
                <c:pt idx="11">
                  <c:v>0.28084538618456867</c:v>
                </c:pt>
                <c:pt idx="12">
                  <c:v>0.35139730445933887</c:v>
                </c:pt>
                <c:pt idx="13">
                  <c:v>0.42996769116663514</c:v>
                </c:pt>
                <c:pt idx="14">
                  <c:v>0.51653871420789566</c:v>
                </c:pt>
                <c:pt idx="15">
                  <c:v>0.6110924786980505</c:v>
                </c:pt>
                <c:pt idx="16">
                  <c:v>0.71361102719441705</c:v>
                </c:pt>
                <c:pt idx="17">
                  <c:v>0.82407633992718732</c:v>
                </c:pt>
                <c:pt idx="18">
                  <c:v>0.94247033503149291</c:v>
                </c:pt>
                <c:pt idx="19">
                  <c:v>1.0687748687810346</c:v>
                </c:pt>
                <c:pt idx="20">
                  <c:v>1.2029717358232617</c:v>
                </c:pt>
                <c:pt idx="21">
                  <c:v>1.3450426694160895</c:v>
                </c:pt>
                <c:pt idx="22">
                  <c:v>1.4949693416661369</c:v>
                </c:pt>
                <c:pt idx="23">
                  <c:v>1.6527333637684745</c:v>
                </c:pt>
                <c:pt idx="24">
                  <c:v>1.8183162862478643</c:v>
                </c:pt>
                <c:pt idx="25">
                  <c:v>1.9916995992014821</c:v>
                </c:pt>
                <c:pt idx="26">
                  <c:v>2.1728647325431032</c:v>
                </c:pt>
                <c:pt idx="27">
                  <c:v>2.361793056248739</c:v>
                </c:pt>
                <c:pt idx="28">
                  <c:v>2.5584658806037122</c:v>
                </c:pt>
                <c:pt idx="29">
                  <c:v>2.7628644564511502</c:v>
                </c:pt>
                <c:pt idx="30">
                  <c:v>2.9749699754418892</c:v>
                </c:pt>
                <c:pt idx="31">
                  <c:v>3.1947635702857671</c:v>
                </c:pt>
                <c:pt idx="32">
                  <c:v>3.4222263150042971</c:v>
                </c:pt>
                <c:pt idx="33">
                  <c:v>3.657339225184701</c:v>
                </c:pt>
                <c:pt idx="34">
                  <c:v>3.9000832582352913</c:v>
                </c:pt>
                <c:pt idx="35">
                  <c:v>4.1504393136421855</c:v>
                </c:pt>
                <c:pt idx="36">
                  <c:v>4.408373436395542</c:v>
                </c:pt>
                <c:pt idx="37">
                  <c:v>4.6738511390822293</c:v>
                </c:pt>
                <c:pt idx="38">
                  <c:v>4.9468522042620924</c:v>
                </c:pt>
                <c:pt idx="39">
                  <c:v>5.2273563746255851</c:v>
                </c:pt>
                <c:pt idx="40">
                  <c:v>5.5153433591705081</c:v>
                </c:pt>
                <c:pt idx="41">
                  <c:v>5.8107928324423543</c:v>
                </c:pt>
                <c:pt idx="42">
                  <c:v>6.1136844338504801</c:v>
                </c:pt>
                <c:pt idx="43">
                  <c:v>6.4239977670528514</c:v>
                </c:pt>
                <c:pt idx="44">
                  <c:v>6.7417123994029753</c:v>
                </c:pt>
                <c:pt idx="45">
                  <c:v>7.0668078614533849</c:v>
                </c:pt>
                <c:pt idx="46">
                  <c:v>7.3992636465106711</c:v>
                </c:pt>
                <c:pt idx="47">
                  <c:v>7.7390592102376212</c:v>
                </c:pt>
                <c:pt idx="48">
                  <c:v>8.0861739702985052</c:v>
                </c:pt>
                <c:pt idx="49">
                  <c:v>8.4405873060439625</c:v>
                </c:pt>
                <c:pt idx="50">
                  <c:v>8.8022785582323149</c:v>
                </c:pt>
                <c:pt idx="51">
                  <c:v>9.1712294446431297</c:v>
                </c:pt>
                <c:pt idx="52">
                  <c:v>9.5474264786206469</c:v>
                </c:pt>
                <c:pt idx="53">
                  <c:v>9.9308585571787109</c:v>
                </c:pt>
                <c:pt idx="54">
                  <c:v>10.321514546175811</c:v>
                </c:pt>
                <c:pt idx="55">
                  <c:v>10.719383280064211</c:v>
                </c:pt>
                <c:pt idx="56">
                  <c:v>11.124453561659102</c:v>
                </c:pt>
                <c:pt idx="57">
                  <c:v>11.536714161926477</c:v>
                </c:pt>
                <c:pt idx="58">
                  <c:v>11.956153819788485</c:v>
                </c:pt>
                <c:pt idx="59">
                  <c:v>12.38276124194517</c:v>
                </c:pt>
                <c:pt idx="60">
                  <c:v>12.816525102711584</c:v>
                </c:pt>
                <c:pt idx="61">
                  <c:v>13.25743404386931</c:v>
                </c:pt>
                <c:pt idx="62">
                  <c:v>13.705476674531562</c:v>
                </c:pt>
                <c:pt idx="63">
                  <c:v>14.160641571021051</c:v>
                </c:pt>
                <c:pt idx="64">
                  <c:v>14.622917276759887</c:v>
                </c:pt>
                <c:pt idx="65">
                  <c:v>15.092292302170847</c:v>
                </c:pt>
                <c:pt idx="66">
                  <c:v>15.568755124589369</c:v>
                </c:pt>
                <c:pt idx="67">
                  <c:v>16.052294188185709</c:v>
                </c:pt>
                <c:pt idx="68">
                  <c:v>16.542897903896698</c:v>
                </c:pt>
                <c:pt idx="69">
                  <c:v>17.04055464936663</c:v>
                </c:pt>
                <c:pt idx="70">
                  <c:v>17.545252768896773</c:v>
                </c:pt>
                <c:pt idx="71">
                  <c:v>18.056980573403123</c:v>
                </c:pt>
                <c:pt idx="72">
                  <c:v>18.575726340381934</c:v>
                </c:pt>
                <c:pt idx="73">
                  <c:v>19.101478313882705</c:v>
                </c:pt>
                <c:pt idx="74">
                  <c:v>19.634224704488243</c:v>
                </c:pt>
                <c:pt idx="75">
                  <c:v>20.173953689301449</c:v>
                </c:pt>
                <c:pt idx="76">
                  <c:v>20.720653411938581</c:v>
                </c:pt>
                <c:pt idx="77">
                  <c:v>21.274311982528634</c:v>
                </c:pt>
                <c:pt idx="78">
                  <c:v>21.834917477718612</c:v>
                </c:pt>
                <c:pt idx="79">
                  <c:v>22.402457940684428</c:v>
                </c:pt>
                <c:pt idx="80">
                  <c:v>22.976921381147175</c:v>
                </c:pt>
                <c:pt idx="81">
                  <c:v>23.558295775394551</c:v>
                </c:pt>
                <c:pt idx="82">
                  <c:v>24.146569066307247</c:v>
                </c:pt>
                <c:pt idx="83">
                  <c:v>24.741729163390048</c:v>
                </c:pt>
                <c:pt idx="84">
                  <c:v>25.343763942807509</c:v>
                </c:pt>
                <c:pt idx="85">
                  <c:v>25.952661247424011</c:v>
                </c:pt>
                <c:pt idx="86">
                  <c:v>26.56840888684799</c:v>
                </c:pt>
                <c:pt idx="87">
                  <c:v>27.190994637480255</c:v>
                </c:pt>
                <c:pt idx="88">
                  <c:v>27.820406242566154</c:v>
                </c:pt>
                <c:pt idx="89">
                  <c:v>28.456631412251536</c:v>
                </c:pt>
                <c:pt idx="90">
                  <c:v>29.099657823642289</c:v>
                </c:pt>
                <c:pt idx="91">
                  <c:v>29.749473120867389</c:v>
                </c:pt>
                <c:pt idx="92">
                  <c:v>30.406064915145301</c:v>
                </c:pt>
                <c:pt idx="93">
                  <c:v>31.069420784853619</c:v>
                </c:pt>
                <c:pt idx="94">
                  <c:v>31.739528275601867</c:v>
                </c:pt>
                <c:pt idx="95">
                  <c:v>32.416374900307289</c:v>
                </c:pt>
                <c:pt idx="96">
                  <c:v>33.099948139273614</c:v>
                </c:pt>
                <c:pt idx="97">
                  <c:v>33.790235440272603</c:v>
                </c:pt>
                <c:pt idx="98">
                  <c:v>34.487224218628398</c:v>
                </c:pt>
                <c:pt idx="99">
                  <c:v>35.190901857304453</c:v>
                </c:pt>
                <c:pt idx="100">
                  <c:v>35.901255706993105</c:v>
                </c:pt>
                <c:pt idx="101">
                  <c:v>36.618271977656789</c:v>
                </c:pt>
                <c:pt idx="102">
                  <c:v>37.341934628980148</c:v>
                </c:pt>
                <c:pt idx="103">
                  <c:v>38.072226477618543</c:v>
                </c:pt>
                <c:pt idx="104">
                  <c:v>38.809130305572602</c:v>
                </c:pt>
                <c:pt idx="105">
                  <c:v>39.552628860354062</c:v>
                </c:pt>
                <c:pt idx="106">
                  <c:v>40.302704855153841</c:v>
                </c:pt>
                <c:pt idx="107">
                  <c:v>41.059340969012339</c:v>
                </c:pt>
                <c:pt idx="108">
                  <c:v>41.822519846991852</c:v>
                </c:pt>
                <c:pt idx="109">
                  <c:v>42.592224100351054</c:v>
                </c:pt>
                <c:pt idx="110">
                  <c:v>43.368436306721478</c:v>
                </c:pt>
                <c:pt idx="111">
                  <c:v>44.15113901028591</c:v>
                </c:pt>
                <c:pt idx="112">
                  <c:v>44.94031472195865</c:v>
                </c:pt>
                <c:pt idx="113">
                  <c:v>45.735945919567605</c:v>
                </c:pt>
                <c:pt idx="114">
                  <c:v>46.538015048038091</c:v>
                </c:pt>
                <c:pt idx="115">
                  <c:v>47.346504519578353</c:v>
                </c:pt>
                <c:pt idx="116">
                  <c:v>48.161396713866722</c:v>
                </c:pt>
                <c:pt idx="117">
                  <c:v>48.982673978240364</c:v>
                </c:pt>
                <c:pt idx="118">
                  <c:v>49.810318627885536</c:v>
                </c:pt>
                <c:pt idx="119">
                  <c:v>50.644312946029373</c:v>
                </c:pt>
                <c:pt idx="120">
                  <c:v>51.484639184133087</c:v>
                </c:pt>
                <c:pt idx="121">
                  <c:v>52.331279562086578</c:v>
                </c:pt>
                <c:pt idx="122">
                  <c:v>53.184216268404384</c:v>
                </c:pt>
                <c:pt idx="123">
                  <c:v>54.043431460422944</c:v>
                </c:pt>
                <c:pt idx="124">
                  <c:v>54.908907264499128</c:v>
                </c:pt>
                <c:pt idx="125">
                  <c:v>55.780625776209995</c:v>
                </c:pt>
                <c:pt idx="126">
                  <c:v>56.658569060553738</c:v>
                </c:pt>
                <c:pt idx="127">
                  <c:v>57.54271915215179</c:v>
                </c:pt>
                <c:pt idx="128">
                  <c:v>58.433058055452001</c:v>
                </c:pt>
                <c:pt idx="129">
                  <c:v>59.329567744932952</c:v>
                </c:pt>
                <c:pt idx="130">
                  <c:v>60.232230165309247</c:v>
                </c:pt>
                <c:pt idx="131">
                  <c:v>61.141027231737873</c:v>
                </c:pt>
                <c:pt idx="132">
                  <c:v>62.05594083002547</c:v>
                </c:pt>
                <c:pt idx="133">
                  <c:v>62.976952816836601</c:v>
                </c:pt>
                <c:pt idx="134">
                  <c:v>63.904045019902888</c:v>
                </c:pt>
                <c:pt idx="135">
                  <c:v>64.83719923823304</c:v>
                </c:pt>
                <c:pt idx="136">
                  <c:v>65.776397242323739</c:v>
                </c:pt>
                <c:pt idx="137">
                  <c:v>66.721620774371331</c:v>
                </c:pt>
                <c:pt idx="138">
                  <c:v>67.672851548484317</c:v>
                </c:pt>
                <c:pt idx="139">
                  <c:v>68.630071250896577</c:v>
                </c:pt>
                <c:pt idx="140">
                  <c:v>69.593261540181359</c:v>
                </c:pt>
                <c:pt idx="141">
                  <c:v>70.562404047465989</c:v>
                </c:pt>
                <c:pt idx="142">
                  <c:v>71.53748037664721</c:v>
                </c:pt>
                <c:pt idx="143">
                  <c:v>72.518472104607213</c:v>
                </c:pt>
                <c:pt idx="144">
                  <c:v>73.505360781430269</c:v>
                </c:pt>
                <c:pt idx="145">
                  <c:v>74.498127930620001</c:v>
                </c:pt>
                <c:pt idx="146">
                  <c:v>75.496755049317201</c:v>
                </c:pt>
                <c:pt idx="147">
                  <c:v>76.501223608518259</c:v>
                </c:pt>
                <c:pt idx="148">
                  <c:v>77.511515053294033</c:v>
                </c:pt>
                <c:pt idx="149">
                  <c:v>78.52761080300931</c:v>
                </c:pt>
                <c:pt idx="150">
                  <c:v>79.549492251542716</c:v>
                </c:pt>
                <c:pt idx="151">
                  <c:v>80.577141143215641</c:v>
                </c:pt>
                <c:pt idx="152">
                  <c:v>81.610539948971692</c:v>
                </c:pt>
                <c:pt idx="153">
                  <c:v>82.649671491142087</c:v>
                </c:pt>
                <c:pt idx="154">
                  <c:v>83.694518567950325</c:v>
                </c:pt>
                <c:pt idx="155">
                  <c:v>84.74506395371192</c:v>
                </c:pt>
                <c:pt idx="156">
                  <c:v>85.801290399034514</c:v>
                </c:pt>
                <c:pt idx="157">
                  <c:v>86.863180631018466</c:v>
                </c:pt>
                <c:pt idx="158">
                  <c:v>87.930717353457709</c:v>
                </c:pt>
                <c:pt idx="159">
                  <c:v>89.003883247041045</c:v>
                </c:pt>
                <c:pt idx="160">
                  <c:v>90.082660969553714</c:v>
                </c:pt>
                <c:pt idx="161">
                  <c:v>91.167033156079356</c:v>
                </c:pt>
                <c:pt idx="162">
                  <c:v>92.25698241920216</c:v>
                </c:pt>
                <c:pt idx="163">
                  <c:v>93.352491349209444</c:v>
                </c:pt>
                <c:pt idx="164">
                  <c:v>94.453542514294384</c:v>
                </c:pt>
                <c:pt idx="165">
                  <c:v>95.560118460759085</c:v>
                </c:pt>
                <c:pt idx="166">
                  <c:v>96.672201713217802</c:v>
                </c:pt>
                <c:pt idx="167">
                  <c:v>97.789774774800492</c:v>
                </c:pt>
                <c:pt idx="168">
                  <c:v>98.912820127356468</c:v>
                </c:pt>
                <c:pt idx="169">
                  <c:v>100.04132023165833</c:v>
                </c:pt>
                <c:pt idx="170">
                  <c:v>101.17525752760604</c:v>
                </c:pt>
                <c:pt idx="171">
                  <c:v>102.31461443443112</c:v>
                </c:pt>
                <c:pt idx="172">
                  <c:v>103.45937335090112</c:v>
                </c:pt>
                <c:pt idx="173">
                  <c:v>104.60951665552405</c:v>
                </c:pt>
                <c:pt idx="174">
                  <c:v>105.76502670675308</c:v>
                </c:pt>
                <c:pt idx="175">
                  <c:v>106.92588584319128</c:v>
                </c:pt>
                <c:pt idx="176">
                  <c:v>108.09207638379648</c:v>
                </c:pt>
                <c:pt idx="177">
                  <c:v>109.26358062808617</c:v>
                </c:pt>
                <c:pt idx="178">
                  <c:v>110.44038085634251</c:v>
                </c:pt>
                <c:pt idx="179">
                  <c:v>111.62245932981739</c:v>
                </c:pt>
                <c:pt idx="180">
                  <c:v>112.80979829093748</c:v>
                </c:pt>
                <c:pt idx="181">
                  <c:v>114.00237996350937</c:v>
                </c:pt>
                <c:pt idx="182">
                  <c:v>115.20018655292471</c:v>
                </c:pt>
                <c:pt idx="183">
                  <c:v>116.4032002463653</c:v>
                </c:pt>
                <c:pt idx="184">
                  <c:v>117.61140321300827</c:v>
                </c:pt>
                <c:pt idx="185">
                  <c:v>118.82477760423113</c:v>
                </c:pt>
                <c:pt idx="186">
                  <c:v>120.04330555381686</c:v>
                </c:pt>
                <c:pt idx="187">
                  <c:v>121.26696917815894</c:v>
                </c:pt>
                <c:pt idx="188">
                  <c:v>122.49575057646628</c:v>
                </c:pt>
                <c:pt idx="189">
                  <c:v>123.72963183096813</c:v>
                </c:pt>
                <c:pt idx="190">
                  <c:v>124.96859500711891</c:v>
                </c:pt>
                <c:pt idx="191">
                  <c:v>126.21262215380287</c:v>
                </c:pt>
                <c:pt idx="192">
                  <c:v>127.46169530353878</c:v>
                </c:pt>
                <c:pt idx="193">
                  <c:v>128.71579647268433</c:v>
                </c:pt>
                <c:pt idx="194">
                  <c:v>129.97490766164066</c:v>
                </c:pt>
                <c:pt idx="195">
                  <c:v>131.23901085505636</c:v>
                </c:pt>
                <c:pt idx="196">
                  <c:v>132.50808802203181</c:v>
                </c:pt>
                <c:pt idx="197">
                  <c:v>133.78212111632291</c:v>
                </c:pt>
                <c:pt idx="198">
                  <c:v>135.06109207654495</c:v>
                </c:pt>
                <c:pt idx="199">
                  <c:v>136.34498282637617</c:v>
                </c:pt>
                <c:pt idx="200">
                  <c:v>137.63377527476106</c:v>
                </c:pt>
                <c:pt idx="201">
                  <c:v>138.92745131611372</c:v>
                </c:pt>
                <c:pt idx="202">
                  <c:v>140.22599283052065</c:v>
                </c:pt>
                <c:pt idx="203">
                  <c:v>141.52938168394365</c:v>
                </c:pt>
                <c:pt idx="204">
                  <c:v>142.8375997284223</c:v>
                </c:pt>
                <c:pt idx="205">
                  <c:v>144.1506288022762</c:v>
                </c:pt>
                <c:pt idx="206">
                  <c:v>145.46845073030707</c:v>
                </c:pt>
                <c:pt idx="207">
                  <c:v>146.79104732400052</c:v>
                </c:pt>
                <c:pt idx="208">
                  <c:v>148.1184003817275</c:v>
                </c:pt>
                <c:pt idx="209">
                  <c:v>149.45049168894562</c:v>
                </c:pt>
                <c:pt idx="210">
                  <c:v>150.78730301840002</c:v>
                </c:pt>
                <c:pt idx="211">
                  <c:v>152.12881613032408</c:v>
                </c:pt>
                <c:pt idx="212">
                  <c:v>153.4750127726397</c:v>
                </c:pt>
                <c:pt idx="213">
                  <c:v>154.82587468115739</c:v>
                </c:pt>
                <c:pt idx="214">
                  <c:v>156.18138357977588</c:v>
                </c:pt>
                <c:pt idx="215">
                  <c:v>157.5415211806816</c:v>
                </c:pt>
                <c:pt idx="216">
                  <c:v>158.90626918454765</c:v>
                </c:pt>
                <c:pt idx="217">
                  <c:v>160.27560928073251</c:v>
                </c:pt>
                <c:pt idx="218">
                  <c:v>161.64952314747833</c:v>
                </c:pt>
                <c:pt idx="219">
                  <c:v>163.02799245210889</c:v>
                </c:pt>
                <c:pt idx="220">
                  <c:v>164.41099885122722</c:v>
                </c:pt>
                <c:pt idx="221">
                  <c:v>165.79852399091274</c:v>
                </c:pt>
                <c:pt idx="222">
                  <c:v>167.19054950691816</c:v>
                </c:pt>
                <c:pt idx="223">
                  <c:v>168.5870570248658</c:v>
                </c:pt>
                <c:pt idx="224">
                  <c:v>169.98802816044363</c:v>
                </c:pt>
                <c:pt idx="225">
                  <c:v>171.39344451960088</c:v>
                </c:pt>
                <c:pt idx="226">
                  <c:v>172.80328769874316</c:v>
                </c:pt>
                <c:pt idx="227">
                  <c:v>174.21753928492726</c:v>
                </c:pt>
                <c:pt idx="228">
                  <c:v>175.63618085605532</c:v>
                </c:pt>
                <c:pt idx="229">
                  <c:v>177.05919398106889</c:v>
                </c:pt>
                <c:pt idx="230">
                  <c:v>178.48656022014211</c:v>
                </c:pt>
                <c:pt idx="231">
                  <c:v>179.91826112487485</c:v>
                </c:pt>
                <c:pt idx="232">
                  <c:v>181.35427823848499</c:v>
                </c:pt>
                <c:pt idx="233">
                  <c:v>182.79459309600063</c:v>
                </c:pt>
                <c:pt idx="234">
                  <c:v>184.2391872244514</c:v>
                </c:pt>
                <c:pt idx="235">
                  <c:v>185.68804214305965</c:v>
                </c:pt>
                <c:pt idx="236">
                  <c:v>187.14113936343088</c:v>
                </c:pt>
                <c:pt idx="237">
                  <c:v>188.59846038974388</c:v>
                </c:pt>
                <c:pt idx="238">
                  <c:v>190.05998671894011</c:v>
                </c:pt>
                <c:pt idx="239">
                  <c:v>191.52569984091289</c:v>
                </c:pt>
                <c:pt idx="240">
                  <c:v>192.99558123869571</c:v>
                </c:pt>
                <c:pt idx="241">
                  <c:v>194.46961238865032</c:v>
                </c:pt>
                <c:pt idx="242">
                  <c:v>195.94777476065411</c:v>
                </c:pt>
                <c:pt idx="243">
                  <c:v>197.43004981828696</c:v>
                </c:pt>
                <c:pt idx="244">
                  <c:v>198.91641901901761</c:v>
                </c:pt>
                <c:pt idx="245">
                  <c:v>200.40686381438945</c:v>
                </c:pt>
                <c:pt idx="246">
                  <c:v>201.90136565020575</c:v>
                </c:pt>
                <c:pt idx="247">
                  <c:v>203.39990596671424</c:v>
                </c:pt>
                <c:pt idx="248">
                  <c:v>204.90246619879136</c:v>
                </c:pt>
                <c:pt idx="249">
                  <c:v>206.40902777612555</c:v>
                </c:pt>
                <c:pt idx="250">
                  <c:v>207.9195721234004</c:v>
                </c:pt>
                <c:pt idx="251">
                  <c:v>209.43407905116553</c:v>
                </c:pt>
                <c:pt idx="252">
                  <c:v>210.95252514660507</c:v>
                </c:pt>
                <c:pt idx="253">
                  <c:v>212.47488538368131</c:v>
                </c:pt>
                <c:pt idx="254">
                  <c:v>214.00113473342174</c:v>
                </c:pt>
                <c:pt idx="255">
                  <c:v>215.53124816418278</c:v>
                </c:pt>
                <c:pt idx="256">
                  <c:v>217.06520064191238</c:v>
                </c:pt>
                <c:pt idx="257">
                  <c:v>218.60296713041126</c:v>
                </c:pt>
                <c:pt idx="258">
                  <c:v>220.14452259159319</c:v>
                </c:pt>
                <c:pt idx="259">
                  <c:v>221.68984198574395</c:v>
                </c:pt>
                <c:pt idx="260">
                  <c:v>223.23890027177916</c:v>
                </c:pt>
                <c:pt idx="261">
                  <c:v>224.7916724075009</c:v>
                </c:pt>
                <c:pt idx="262">
                  <c:v>226.34813334985307</c:v>
                </c:pt>
                <c:pt idx="263">
                  <c:v>227.90825805517559</c:v>
                </c:pt>
                <c:pt idx="264">
                  <c:v>229.4720214794574</c:v>
                </c:pt>
                <c:pt idx="265">
                  <c:v>231.03939857858811</c:v>
                </c:pt>
                <c:pt idx="266">
                  <c:v>232.61036430860852</c:v>
                </c:pt>
                <c:pt idx="267">
                  <c:v>234.18489362595994</c:v>
                </c:pt>
                <c:pt idx="268">
                  <c:v>235.76296148773207</c:v>
                </c:pt>
                <c:pt idx="269">
                  <c:v>237.34454285190984</c:v>
                </c:pt>
                <c:pt idx="270">
                  <c:v>238.92961267761882</c:v>
                </c:pt>
                <c:pt idx="271">
                  <c:v>240.51814592536951</c:v>
                </c:pt>
                <c:pt idx="272">
                  <c:v>242.11011755730019</c:v>
                </c:pt>
                <c:pt idx="273">
                  <c:v>243.70550253741862</c:v>
                </c:pt>
                <c:pt idx="274">
                  <c:v>245.3042758318424</c:v>
                </c:pt>
                <c:pt idx="275">
                  <c:v>246.9064124090381</c:v>
                </c:pt>
                <c:pt idx="276">
                  <c:v>248.51188724005888</c:v>
                </c:pt>
                <c:pt idx="277">
                  <c:v>250.12067529878118</c:v>
                </c:pt>
                <c:pt idx="278">
                  <c:v>251.73275156213975</c:v>
                </c:pt>
                <c:pt idx="279">
                  <c:v>253.34809101036151</c:v>
                </c:pt>
                <c:pt idx="280">
                  <c:v>254.96666862719815</c:v>
                </c:pt>
                <c:pt idx="281">
                  <c:v>256.58845940015726</c:v>
                </c:pt>
                <c:pt idx="282">
                  <c:v>258.21343832073234</c:v>
                </c:pt>
                <c:pt idx="283">
                  <c:v>259.84158038463119</c:v>
                </c:pt>
                <c:pt idx="284">
                  <c:v>261.47286059200331</c:v>
                </c:pt>
                <c:pt idx="285">
                  <c:v>263.10725394766558</c:v>
                </c:pt>
                <c:pt idx="286">
                  <c:v>264.74473546132702</c:v>
                </c:pt>
                <c:pt idx="287">
                  <c:v>266.38528014781173</c:v>
                </c:pt>
                <c:pt idx="288">
                  <c:v>268.02886302728092</c:v>
                </c:pt>
                <c:pt idx="289">
                  <c:v>269.67545912545324</c:v>
                </c:pt>
                <c:pt idx="290">
                  <c:v>271.325043473824</c:v>
                </c:pt>
                <c:pt idx="291">
                  <c:v>272.97759110988278</c:v>
                </c:pt>
                <c:pt idx="292">
                  <c:v>274.63307707732997</c:v>
                </c:pt>
                <c:pt idx="293">
                  <c:v>276.29147642629169</c:v>
                </c:pt>
                <c:pt idx="294">
                  <c:v>277.95276421353344</c:v>
                </c:pt>
                <c:pt idx="295">
                  <c:v>279.61691550267227</c:v>
                </c:pt>
                <c:pt idx="296">
                  <c:v>281.28390536438786</c:v>
                </c:pt>
                <c:pt idx="297">
                  <c:v>282.95370887663182</c:v>
                </c:pt>
                <c:pt idx="298">
                  <c:v>284.62628351581145</c:v>
                </c:pt>
                <c:pt idx="299">
                  <c:v>286.30155155276105</c:v>
                </c:pt>
                <c:pt idx="300">
                  <c:v>287.97941767922237</c:v>
                </c:pt>
                <c:pt idx="301">
                  <c:v>289.65978663032428</c:v>
                </c:pt>
                <c:pt idx="302">
                  <c:v>291.34256318635494</c:v>
                </c:pt>
                <c:pt idx="303">
                  <c:v>293.02765217451474</c:v>
                </c:pt>
                <c:pt idx="304">
                  <c:v>294.71495847065017</c:v>
                </c:pt>
                <c:pt idx="305">
                  <c:v>296.40438700096882</c:v>
                </c:pt>
                <c:pt idx="306">
                  <c:v>298.09584274373503</c:v>
                </c:pt>
                <c:pt idx="307">
                  <c:v>299.78923073094637</c:v>
                </c:pt>
                <c:pt idx="308">
                  <c:v>301.48445604999102</c:v>
                </c:pt>
                <c:pt idx="309">
                  <c:v>303.18142384528562</c:v>
                </c:pt>
                <c:pt idx="310">
                  <c:v>304.88003931989397</c:v>
                </c:pt>
                <c:pt idx="311">
                  <c:v>306.58020773712639</c:v>
                </c:pt>
                <c:pt idx="312">
                  <c:v>308.28183442211963</c:v>
                </c:pt>
                <c:pt idx="313">
                  <c:v>309.9848247633974</c:v>
                </c:pt>
                <c:pt idx="314">
                  <c:v>311.68908421441154</c:v>
                </c:pt>
                <c:pt idx="315">
                  <c:v>313.39451829506379</c:v>
                </c:pt>
                <c:pt idx="316">
                  <c:v>315.10103259320795</c:v>
                </c:pt>
                <c:pt idx="317">
                  <c:v>316.8085327661326</c:v>
                </c:pt>
                <c:pt idx="318">
                  <c:v>318.51692454202464</c:v>
                </c:pt>
                <c:pt idx="319">
                  <c:v>320.2261137214129</c:v>
                </c:pt>
                <c:pt idx="320">
                  <c:v>321.93600617859266</c:v>
                </c:pt>
                <c:pt idx="321">
                  <c:v>323.64651485678212</c:v>
                </c:pt>
                <c:pt idx="322">
                  <c:v>325.3575667580202</c:v>
                </c:pt>
                <c:pt idx="323">
                  <c:v>327.06909593880772</c:v>
                </c:pt>
                <c:pt idx="324">
                  <c:v>328.78103651063037</c:v>
                </c:pt>
                <c:pt idx="325">
                  <c:v>330.49332264061275</c:v>
                </c:pt>
                <c:pt idx="326">
                  <c:v>332.20588855216323</c:v>
                </c:pt>
                <c:pt idx="327">
                  <c:v>333.91866852560935</c:v>
                </c:pt>
                <c:pt idx="328">
                  <c:v>335.63159689882315</c:v>
                </c:pt>
                <c:pt idx="329">
                  <c:v>337.34460806783761</c:v>
                </c:pt>
                <c:pt idx="330">
                  <c:v>339.05763648745312</c:v>
                </c:pt>
                <c:pt idx="331">
                  <c:v>340.77061667183466</c:v>
                </c:pt>
                <c:pt idx="332">
                  <c:v>342.48348319509944</c:v>
                </c:pt>
                <c:pt idx="333">
                  <c:v>344.19617069189519</c:v>
                </c:pt>
                <c:pt idx="334">
                  <c:v>345.90861385796899</c:v>
                </c:pt>
                <c:pt idx="335">
                  <c:v>347.62074745072664</c:v>
                </c:pt>
                <c:pt idx="336">
                  <c:v>349.33250628978277</c:v>
                </c:pt>
                <c:pt idx="337">
                  <c:v>351.04382525750145</c:v>
                </c:pt>
                <c:pt idx="338">
                  <c:v>352.75463929952787</c:v>
                </c:pt>
                <c:pt idx="339">
                  <c:v>354.46488342531006</c:v>
                </c:pt>
                <c:pt idx="340">
                  <c:v>356.17449270861215</c:v>
                </c:pt>
                <c:pt idx="341">
                  <c:v>357.88340228801769</c:v>
                </c:pt>
                <c:pt idx="342">
                  <c:v>359.59154736742431</c:v>
                </c:pt>
                <c:pt idx="343">
                  <c:v>361.29886321652884</c:v>
                </c:pt>
                <c:pt idx="344">
                  <c:v>363.00528517130351</c:v>
                </c:pt>
                <c:pt idx="345">
                  <c:v>364.71074863446302</c:v>
                </c:pt>
                <c:pt idx="346">
                  <c:v>366.4151890759224</c:v>
                </c:pt>
                <c:pt idx="347">
                  <c:v>368.118542033246</c:v>
                </c:pt>
                <c:pt idx="348">
                  <c:v>369.8207438654083</c:v>
                </c:pt>
                <c:pt idx="349">
                  <c:v>371.52173250571508</c:v>
                </c:pt>
                <c:pt idx="350">
                  <c:v>373.22144670722844</c:v>
                </c:pt>
                <c:pt idx="351">
                  <c:v>374.91982528898967</c:v>
                </c:pt>
                <c:pt idx="352">
                  <c:v>376.61680713637691</c:v>
                </c:pt>
                <c:pt idx="353">
                  <c:v>378.31233120145504</c:v>
                </c:pt>
                <c:pt idx="354">
                  <c:v>380.00633650331719</c:v>
                </c:pt>
                <c:pt idx="355">
                  <c:v>381.69876212841882</c:v>
                </c:pt>
                <c:pt idx="356">
                  <c:v>383.38954723090364</c:v>
                </c:pt>
                <c:pt idx="357">
                  <c:v>385.07863103292175</c:v>
                </c:pt>
                <c:pt idx="358">
                  <c:v>386.76595282494003</c:v>
                </c:pt>
                <c:pt idx="359">
                  <c:v>388.45145196604477</c:v>
                </c:pt>
                <c:pt idx="360">
                  <c:v>390.13508354435527</c:v>
                </c:pt>
                <c:pt idx="361">
                  <c:v>391.81683401816588</c:v>
                </c:pt>
                <c:pt idx="362">
                  <c:v>393.49670551863704</c:v>
                </c:pt>
                <c:pt idx="363">
                  <c:v>395.17470017161696</c:v>
                </c:pt>
                <c:pt idx="364">
                  <c:v>396.85082009765847</c:v>
                </c:pt>
                <c:pt idx="365">
                  <c:v>398.52506741203592</c:v>
                </c:pt>
                <c:pt idx="366">
                  <c:v>400.19744422476191</c:v>
                </c:pt>
                <c:pt idx="367">
                  <c:v>401.86795264060396</c:v>
                </c:pt>
                <c:pt idx="368">
                  <c:v>403.53659475910115</c:v>
                </c:pt>
                <c:pt idx="369">
                  <c:v>405.20337267458075</c:v>
                </c:pt>
                <c:pt idx="370">
                  <c:v>406.86828847617465</c:v>
                </c:pt>
                <c:pt idx="371">
                  <c:v>408.53134424783576</c:v>
                </c:pt>
                <c:pt idx="372">
                  <c:v>410.19254206835433</c:v>
                </c:pt>
                <c:pt idx="373">
                  <c:v>411.85188401137435</c:v>
                </c:pt>
                <c:pt idx="374">
                  <c:v>413.50937214540983</c:v>
                </c:pt>
                <c:pt idx="375">
                  <c:v>415.16500853386066</c:v>
                </c:pt>
                <c:pt idx="376">
                  <c:v>416.81879523502903</c:v>
                </c:pt>
                <c:pt idx="377">
                  <c:v>418.47073430213533</c:v>
                </c:pt>
                <c:pt idx="378">
                  <c:v>420.12082778333405</c:v>
                </c:pt>
                <c:pt idx="379">
                  <c:v>421.76907772172979</c:v>
                </c:pt>
                <c:pt idx="380">
                  <c:v>423.41548615539301</c:v>
                </c:pt>
                <c:pt idx="381">
                  <c:v>425.0600551173759</c:v>
                </c:pt>
                <c:pt idx="382">
                  <c:v>426.70278663572799</c:v>
                </c:pt>
                <c:pt idx="383">
                  <c:v>428.3436827335118</c:v>
                </c:pt>
                <c:pt idx="384">
                  <c:v>429.98274542881853</c:v>
                </c:pt>
                <c:pt idx="385">
                  <c:v>431.61997673478351</c:v>
                </c:pt>
                <c:pt idx="386">
                  <c:v>433.2553786596016</c:v>
                </c:pt>
                <c:pt idx="387">
                  <c:v>434.88895320654268</c:v>
                </c:pt>
                <c:pt idx="388">
                  <c:v>436.52070237396691</c:v>
                </c:pt>
                <c:pt idx="389">
                  <c:v>438.15062815534009</c:v>
                </c:pt>
                <c:pt idx="390">
                  <c:v>439.77873253924878</c:v>
                </c:pt>
                <c:pt idx="391">
                  <c:v>441.40501750941553</c:v>
                </c:pt>
                <c:pt idx="392">
                  <c:v>443.02948504471397</c:v>
                </c:pt>
                <c:pt idx="393">
                  <c:v>444.65213711918369</c:v>
                </c:pt>
                <c:pt idx="394">
                  <c:v>446.27297570204541</c:v>
                </c:pt>
                <c:pt idx="395">
                  <c:v>447.89200275771583</c:v>
                </c:pt>
                <c:pt idx="396">
                  <c:v>449.50922024582241</c:v>
                </c:pt>
                <c:pt idx="397">
                  <c:v>451.12463012121822</c:v>
                </c:pt>
                <c:pt idx="398">
                  <c:v>452.73823433399667</c:v>
                </c:pt>
                <c:pt idx="399">
                  <c:v>454.35003482950623</c:v>
                </c:pt>
                <c:pt idx="400">
                  <c:v>455.96003354836495</c:v>
                </c:pt>
                <c:pt idx="401">
                  <c:v>471.96107300060953</c:v>
                </c:pt>
                <c:pt idx="402">
                  <c:v>487.78318333211666</c:v>
                </c:pt>
                <c:pt idx="403">
                  <c:v>503.42825807706595</c:v>
                </c:pt>
                <c:pt idx="404">
                  <c:v>518.89814542549937</c:v>
                </c:pt>
                <c:pt idx="405">
                  <c:v>534.19464958529625</c:v>
                </c:pt>
                <c:pt idx="406">
                  <c:v>549.31953209177277</c:v>
                </c:pt>
                <c:pt idx="407">
                  <c:v>564.27451306730495</c:v>
                </c:pt>
                <c:pt idx="408">
                  <c:v>579.06127243324454</c:v>
                </c:pt>
                <c:pt idx="409">
                  <c:v>593.68145107627743</c:v>
                </c:pt>
                <c:pt idx="410">
                  <c:v>608.13665197126136</c:v>
                </c:pt>
                <c:pt idx="411">
                  <c:v>622.42844126247451</c:v>
                </c:pt>
                <c:pt idx="412">
                  <c:v>636.558349305104</c:v>
                </c:pt>
                <c:pt idx="413">
                  <c:v>650.52787166871224</c:v>
                </c:pt>
                <c:pt idx="414">
                  <c:v>664.33847010432908</c:v>
                </c:pt>
                <c:pt idx="415">
                  <c:v>677.9915734767344</c:v>
                </c:pt>
                <c:pt idx="416">
                  <c:v>691.48857866341723</c:v>
                </c:pt>
                <c:pt idx="417">
                  <c:v>704.83085142162349</c:v>
                </c:pt>
                <c:pt idx="418">
                  <c:v>718.01972722483549</c:v>
                </c:pt>
                <c:pt idx="419">
                  <c:v>731.05651206995776</c:v>
                </c:pt>
                <c:pt idx="420">
                  <c:v>743.94248325642502</c:v>
                </c:pt>
                <c:pt idx="421">
                  <c:v>756.67889013838635</c:v>
                </c:pt>
                <c:pt idx="422">
                  <c:v>769.26695485106575</c:v>
                </c:pt>
                <c:pt idx="423">
                  <c:v>781.70787301234577</c:v>
                </c:pt>
                <c:pt idx="424">
                  <c:v>794.00281440057267</c:v>
                </c:pt>
                <c:pt idx="425">
                  <c:v>806.15292360953242</c:v>
                </c:pt>
                <c:pt idx="426">
                  <c:v>818.15932068150437</c:v>
                </c:pt>
                <c:pt idx="427">
                  <c:v>830.02310171925626</c:v>
                </c:pt>
                <c:pt idx="428">
                  <c:v>841.74533947780549</c:v>
                </c:pt>
                <c:pt idx="429">
                  <c:v>853.32708393673147</c:v>
                </c:pt>
                <c:pt idx="430">
                  <c:v>864.76936285379099</c:v>
                </c:pt>
                <c:pt idx="431">
                  <c:v>876.07318230055296</c:v>
                </c:pt>
                <c:pt idx="432">
                  <c:v>887.23952718073645</c:v>
                </c:pt>
                <c:pt idx="433">
                  <c:v>898.26936173190711</c:v>
                </c:pt>
                <c:pt idx="434">
                  <c:v>909.16363001115553</c:v>
                </c:pt>
                <c:pt idx="435">
                  <c:v>919.92325636535645</c:v>
                </c:pt>
                <c:pt idx="436">
                  <c:v>930.54914588657891</c:v>
                </c:pt>
                <c:pt idx="437">
                  <c:v>941.04218485319529</c:v>
                </c:pt>
                <c:pt idx="438">
                  <c:v>951.40324115721126</c:v>
                </c:pt>
                <c:pt idx="439">
                  <c:v>961.6331647183174</c:v>
                </c:pt>
                <c:pt idx="440">
                  <c:v>971.73278788514222</c:v>
                </c:pt>
                <c:pt idx="441">
                  <c:v>981.70292582416516</c:v>
                </c:pt>
                <c:pt idx="442">
                  <c:v>991.54437689673011</c:v>
                </c:pt>
                <c:pt idx="443">
                  <c:v>1001.2579230245801</c:v>
                </c:pt>
                <c:pt idx="444">
                  <c:v>1010.8443300443178</c:v>
                </c:pt>
                <c:pt idx="445">
                  <c:v>1020.3043480511785</c:v>
                </c:pt>
                <c:pt idx="446">
                  <c:v>1029.6387117324891</c:v>
                </c:pt>
                <c:pt idx="447">
                  <c:v>1038.8481406911674</c:v>
                </c:pt>
                <c:pt idx="448">
                  <c:v>1047.9333397596049</c:v>
                </c:pt>
                <c:pt idx="449">
                  <c:v>1056.8949993042629</c:v>
                </c:pt>
                <c:pt idx="450">
                  <c:v>1065.7337955212961</c:v>
                </c:pt>
                <c:pt idx="451">
                  <c:v>1074.4503907235073</c:v>
                </c:pt>
                <c:pt idx="452">
                  <c:v>1083.0454336189248</c:v>
                </c:pt>
                <c:pt idx="453">
                  <c:v>1091.5195595812838</c:v>
                </c:pt>
                <c:pt idx="454">
                  <c:v>1099.8733909126793</c:v>
                </c:pt>
                <c:pt idx="455">
                  <c:v>1108.1075370986523</c:v>
                </c:pt>
                <c:pt idx="456">
                  <c:v>1116.2225950559571</c:v>
                </c:pt>
                <c:pt idx="457">
                  <c:v>1124.2191493732512</c:v>
                </c:pt>
                <c:pt idx="458">
                  <c:v>1132.09777254494</c:v>
                </c:pt>
                <c:pt idx="459">
                  <c:v>1139.8590251983981</c:v>
                </c:pt>
                <c:pt idx="460">
                  <c:v>1147.5034563147847</c:v>
                </c:pt>
                <c:pt idx="461">
                  <c:v>1155.0316034436596</c:v>
                </c:pt>
                <c:pt idx="462">
                  <c:v>1162.4439929116011</c:v>
                </c:pt>
                <c:pt idx="463">
                  <c:v>1169.7411400250207</c:v>
                </c:pt>
                <c:pt idx="464">
                  <c:v>1176.9235492673604</c:v>
                </c:pt>
                <c:pt idx="465">
                  <c:v>1183.9917144908559</c:v>
                </c:pt>
                <c:pt idx="466">
                  <c:v>1190.9461191030416</c:v>
                </c:pt>
                <c:pt idx="467">
                  <c:v>1197.7872362481671</c:v>
                </c:pt>
                <c:pt idx="468">
                  <c:v>1204.5155289836905</c:v>
                </c:pt>
                <c:pt idx="469">
                  <c:v>1211.1314504520108</c:v>
                </c:pt>
                <c:pt idx="470">
                  <c:v>1217.6354440475943</c:v>
                </c:pt>
                <c:pt idx="471">
                  <c:v>1224.0279435796492</c:v>
                </c:pt>
                <c:pt idx="472">
                  <c:v>1230.3093734304941</c:v>
                </c:pt>
                <c:pt idx="473">
                  <c:v>1236.4801487097689</c:v>
                </c:pt>
                <c:pt idx="474">
                  <c:v>1242.540675404628</c:v>
                </c:pt>
                <c:pt idx="475">
                  <c:v>1248.4913505260561</c:v>
                </c:pt>
                <c:pt idx="476">
                  <c:v>1254.3325622514435</c:v>
                </c:pt>
                <c:pt idx="477">
                  <c:v>1260.0646900635552</c:v>
                </c:pt>
                <c:pt idx="478">
                  <c:v>1265.6881048860278</c:v>
                </c:pt>
                <c:pt idx="479">
                  <c:v>1271.2031692155244</c:v>
                </c:pt>
                <c:pt idx="480">
                  <c:v>1276.6102372506814</c:v>
                </c:pt>
                <c:pt idx="481">
                  <c:v>1281.9096550179734</c:v>
                </c:pt>
                <c:pt idx="482">
                  <c:v>1287.1017604946292</c:v>
                </c:pt>
                <c:pt idx="483">
                  <c:v>1292.1868837287286</c:v>
                </c:pt>
                <c:pt idx="484">
                  <c:v>1297.1653469566097</c:v>
                </c:pt>
                <c:pt idx="485">
                  <c:v>1302.0374647177216</c:v>
                </c:pt>
                <c:pt idx="486">
                  <c:v>1306.8035439670537</c:v>
                </c:pt>
                <c:pt idx="487">
                  <c:v>1311.4638841852804</c:v>
                </c:pt>
                <c:pt idx="488">
                  <c:v>1316.0187774867595</c:v>
                </c:pt>
                <c:pt idx="489">
                  <c:v>1320.4685087255266</c:v>
                </c:pt>
                <c:pt idx="490">
                  <c:v>1324.8133555994336</c:v>
                </c:pt>
                <c:pt idx="491">
                  <c:v>1329.0535887525841</c:v>
                </c:pt>
                <c:pt idx="492">
                  <c:v>1333.1894718762205</c:v>
                </c:pt>
                <c:pt idx="493">
                  <c:v>1337.221261808231</c:v>
                </c:pt>
                <c:pt idx="494">
                  <c:v>1341.1492086314452</c:v>
                </c:pt>
                <c:pt idx="495">
                  <c:v>1344.9735557709007</c:v>
                </c:pt>
                <c:pt idx="496">
                  <c:v>1348.6945400902691</c:v>
                </c:pt>
                <c:pt idx="497">
                  <c:v>1352.3123919876414</c:v>
                </c:pt>
                <c:pt idx="498">
                  <c:v>1355.8273354908845</c:v>
                </c:pt>
                <c:pt idx="499">
                  <c:v>1359.2395883527934</c:v>
                </c:pt>
                <c:pt idx="500">
                  <c:v>1362.5493621462758</c:v>
                </c:pt>
                <c:pt idx="501">
                  <c:v>1365.7568623598231</c:v>
                </c:pt>
                <c:pt idx="502">
                  <c:v>1368.8622884935346</c:v>
                </c:pt>
                <c:pt idx="503">
                  <c:v>1371.8658341559844</c:v>
                </c:pt>
                <c:pt idx="504">
                  <c:v>1374.7676871622316</c:v>
                </c:pt>
                <c:pt idx="505">
                  <c:v>1377.5680296332987</c:v>
                </c:pt>
                <c:pt idx="506">
                  <c:v>1380.2670380974635</c:v>
                </c:pt>
                <c:pt idx="507">
                  <c:v>1382.8648835937252</c:v>
                </c:pt>
                <c:pt idx="508">
                  <c:v>1385.3617317778323</c:v>
                </c:pt>
                <c:pt idx="509">
                  <c:v>1387.7577430312767</c:v>
                </c:pt>
                <c:pt idx="510">
                  <c:v>1390.053072573678</c:v>
                </c:pt>
                <c:pt idx="511">
                  <c:v>1392.2478705790056</c:v>
                </c:pt>
                <c:pt idx="512">
                  <c:v>1394.3422822960968</c:v>
                </c:pt>
                <c:pt idx="513">
                  <c:v>1396.3364481739454</c:v>
                </c:pt>
                <c:pt idx="514">
                  <c:v>1398.2305039922492</c:v>
                </c:pt>
                <c:pt idx="515">
                  <c:v>1400.0245809976996</c:v>
                </c:pt>
                <c:pt idx="516">
                  <c:v>1401.7188060465073</c:v>
                </c:pt>
                <c:pt idx="517">
                  <c:v>1403.3133017536388</c:v>
                </c:pt>
                <c:pt idx="518">
                  <c:v>1404.8081866492232</c:v>
                </c:pt>
                <c:pt idx="519">
                  <c:v>1406.2035753425605</c:v>
                </c:pt>
                <c:pt idx="520">
                  <c:v>1407.4995786941179</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93D4-48A2-9F65-FF2CAA52DF8C}"/>
            </c:ext>
          </c:extLst>
        </c:ser>
        <c:ser>
          <c:idx val="6"/>
          <c:order val="6"/>
          <c:tx>
            <c:strRef>
              <c:f>Trajecto!$B$106</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Trajecto!$B$157</c:f>
              <c:numCache>
                <c:formatCode>General</c:formatCode>
                <c:ptCount val="1"/>
                <c:pt idx="0">
                  <c:v>4</c:v>
                </c:pt>
              </c:numCache>
            </c:numRef>
          </c:xVal>
          <c:yVal>
            <c:numRef>
              <c:f>Trajecto!$C$155</c:f>
              <c:numCache>
                <c:formatCode>0</c:formatCode>
                <c:ptCount val="1"/>
                <c:pt idx="0">
                  <c:v>703.74978934705894</c:v>
                </c:pt>
              </c:numCache>
            </c:numRef>
          </c:yVal>
          <c:smooth val="0"/>
          <c:extLst>
            <c:ext xmlns:c16="http://schemas.microsoft.com/office/drawing/2014/chart" uri="{C3380CC4-5D6E-409C-BE32-E72D297353CC}">
              <c16:uniqueId val="{00000008-93D4-48A2-9F65-FF2CAA52DF8C}"/>
            </c:ext>
          </c:extLst>
        </c:ser>
        <c:ser>
          <c:idx val="7"/>
          <c:order val="7"/>
          <c:tx>
            <c:strRef>
              <c:f>Trajecto!$B$107</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26.400000000000063</c:v>
                </c:pt>
              </c:numCache>
            </c:numRef>
          </c:xVal>
          <c:yVal>
            <c:numRef>
              <c:f>Trajecto!$C$156</c:f>
              <c:numCache>
                <c:formatCode>0</c:formatCode>
                <c:ptCount val="1"/>
                <c:pt idx="0">
                  <c:v>707.66782759301032</c:v>
                </c:pt>
              </c:numCache>
            </c:numRef>
          </c:yVal>
          <c:smooth val="0"/>
          <c:extLst>
            <c:ext xmlns:c16="http://schemas.microsoft.com/office/drawing/2014/chart" uri="{C3380CC4-5D6E-409C-BE32-E72D297353CC}">
              <c16:uniqueId val="{00000009-93D4-48A2-9F65-FF2CAA52DF8C}"/>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Trajecto!$B$112</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Calculs!$Q$4:$Q$1004</c:f>
              <c:numCache>
                <c:formatCode>0.00</c:formatCode>
                <c:ptCount val="1001"/>
                <c:pt idx="0">
                  <c:v>0</c:v>
                </c:pt>
                <c:pt idx="1">
                  <c:v>89.3</c:v>
                </c:pt>
                <c:pt idx="2">
                  <c:v>267.89999999999998</c:v>
                </c:pt>
                <c:pt idx="3">
                  <c:v>446.49999999999994</c:v>
                </c:pt>
                <c:pt idx="4">
                  <c:v>625.1</c:v>
                </c:pt>
                <c:pt idx="5">
                  <c:v>803.7</c:v>
                </c:pt>
                <c:pt idx="6">
                  <c:v>891.94444444444446</c:v>
                </c:pt>
                <c:pt idx="7">
                  <c:v>889.83333333333337</c:v>
                </c:pt>
                <c:pt idx="8">
                  <c:v>887.72222222222217</c:v>
                </c:pt>
                <c:pt idx="9">
                  <c:v>885.61111111111109</c:v>
                </c:pt>
                <c:pt idx="10">
                  <c:v>883.5</c:v>
                </c:pt>
                <c:pt idx="11">
                  <c:v>881.38888888888891</c:v>
                </c:pt>
                <c:pt idx="12">
                  <c:v>879.27777777777783</c:v>
                </c:pt>
                <c:pt idx="13">
                  <c:v>877.16666666666663</c:v>
                </c:pt>
                <c:pt idx="14">
                  <c:v>875.05555555555554</c:v>
                </c:pt>
                <c:pt idx="15">
                  <c:v>872.94444444444446</c:v>
                </c:pt>
                <c:pt idx="16">
                  <c:v>870.83333333333337</c:v>
                </c:pt>
                <c:pt idx="17">
                  <c:v>868.72222222222217</c:v>
                </c:pt>
                <c:pt idx="18">
                  <c:v>866.61111111111109</c:v>
                </c:pt>
                <c:pt idx="19">
                  <c:v>864.5</c:v>
                </c:pt>
                <c:pt idx="20">
                  <c:v>862.38888888888891</c:v>
                </c:pt>
                <c:pt idx="21">
                  <c:v>860.27777777777783</c:v>
                </c:pt>
                <c:pt idx="22">
                  <c:v>858.16666666666663</c:v>
                </c:pt>
                <c:pt idx="23">
                  <c:v>856.05555555555554</c:v>
                </c:pt>
                <c:pt idx="24">
                  <c:v>853.94444444444446</c:v>
                </c:pt>
                <c:pt idx="25">
                  <c:v>851.83333333333337</c:v>
                </c:pt>
                <c:pt idx="26">
                  <c:v>849.72222222222217</c:v>
                </c:pt>
                <c:pt idx="27">
                  <c:v>847.61111111111109</c:v>
                </c:pt>
                <c:pt idx="28">
                  <c:v>845.5</c:v>
                </c:pt>
                <c:pt idx="29">
                  <c:v>843.38888888888891</c:v>
                </c:pt>
                <c:pt idx="30">
                  <c:v>841.27777777777771</c:v>
                </c:pt>
                <c:pt idx="31">
                  <c:v>839.16666666666663</c:v>
                </c:pt>
                <c:pt idx="32">
                  <c:v>837.05555555555554</c:v>
                </c:pt>
                <c:pt idx="33">
                  <c:v>834.94444444444446</c:v>
                </c:pt>
                <c:pt idx="34">
                  <c:v>832.83333333333326</c:v>
                </c:pt>
                <c:pt idx="35">
                  <c:v>830.72222222222217</c:v>
                </c:pt>
                <c:pt idx="36">
                  <c:v>828.61111111111109</c:v>
                </c:pt>
                <c:pt idx="37">
                  <c:v>826.5</c:v>
                </c:pt>
                <c:pt idx="38">
                  <c:v>824.38888888888891</c:v>
                </c:pt>
                <c:pt idx="39">
                  <c:v>822.27777777777771</c:v>
                </c:pt>
                <c:pt idx="40">
                  <c:v>820.16666666666663</c:v>
                </c:pt>
                <c:pt idx="41">
                  <c:v>818.05555555555554</c:v>
                </c:pt>
                <c:pt idx="42">
                  <c:v>815.94444444444434</c:v>
                </c:pt>
                <c:pt idx="43">
                  <c:v>813.83333333333326</c:v>
                </c:pt>
                <c:pt idx="44">
                  <c:v>811.72222222222217</c:v>
                </c:pt>
                <c:pt idx="45">
                  <c:v>809.61111111111109</c:v>
                </c:pt>
                <c:pt idx="46">
                  <c:v>807.5</c:v>
                </c:pt>
                <c:pt idx="47">
                  <c:v>805.3888888888888</c:v>
                </c:pt>
                <c:pt idx="48">
                  <c:v>803.27777777777771</c:v>
                </c:pt>
                <c:pt idx="49">
                  <c:v>801.16666666666663</c:v>
                </c:pt>
                <c:pt idx="50">
                  <c:v>799.05555555555554</c:v>
                </c:pt>
                <c:pt idx="51">
                  <c:v>797.41</c:v>
                </c:pt>
                <c:pt idx="52">
                  <c:v>796.23</c:v>
                </c:pt>
                <c:pt idx="53">
                  <c:v>795.05</c:v>
                </c:pt>
                <c:pt idx="54">
                  <c:v>793.87</c:v>
                </c:pt>
                <c:pt idx="55">
                  <c:v>792.68999999999994</c:v>
                </c:pt>
                <c:pt idx="56">
                  <c:v>791.51</c:v>
                </c:pt>
                <c:pt idx="57">
                  <c:v>790.32999999999993</c:v>
                </c:pt>
                <c:pt idx="58">
                  <c:v>789.15</c:v>
                </c:pt>
                <c:pt idx="59">
                  <c:v>787.96999999999991</c:v>
                </c:pt>
                <c:pt idx="60">
                  <c:v>786.79</c:v>
                </c:pt>
                <c:pt idx="61">
                  <c:v>785.61</c:v>
                </c:pt>
                <c:pt idx="62">
                  <c:v>784.43</c:v>
                </c:pt>
                <c:pt idx="63">
                  <c:v>783.25</c:v>
                </c:pt>
                <c:pt idx="64">
                  <c:v>782.06999999999994</c:v>
                </c:pt>
                <c:pt idx="65">
                  <c:v>780.89</c:v>
                </c:pt>
                <c:pt idx="66">
                  <c:v>779.70999999999992</c:v>
                </c:pt>
                <c:pt idx="67">
                  <c:v>778.53</c:v>
                </c:pt>
                <c:pt idx="68">
                  <c:v>777.34999999999991</c:v>
                </c:pt>
                <c:pt idx="69">
                  <c:v>776.17</c:v>
                </c:pt>
                <c:pt idx="70">
                  <c:v>774.99</c:v>
                </c:pt>
                <c:pt idx="71">
                  <c:v>773.81</c:v>
                </c:pt>
                <c:pt idx="72">
                  <c:v>772.63</c:v>
                </c:pt>
                <c:pt idx="73">
                  <c:v>771.44999999999993</c:v>
                </c:pt>
                <c:pt idx="74">
                  <c:v>770.27</c:v>
                </c:pt>
                <c:pt idx="75">
                  <c:v>769.08999999999992</c:v>
                </c:pt>
                <c:pt idx="76">
                  <c:v>767.91</c:v>
                </c:pt>
                <c:pt idx="77">
                  <c:v>766.7299999999999</c:v>
                </c:pt>
                <c:pt idx="78">
                  <c:v>765.55</c:v>
                </c:pt>
                <c:pt idx="79">
                  <c:v>764.36999999999989</c:v>
                </c:pt>
                <c:pt idx="80">
                  <c:v>763.18999999999994</c:v>
                </c:pt>
                <c:pt idx="81">
                  <c:v>762.01</c:v>
                </c:pt>
                <c:pt idx="82">
                  <c:v>760.82999999999993</c:v>
                </c:pt>
                <c:pt idx="83">
                  <c:v>759.65</c:v>
                </c:pt>
                <c:pt idx="84">
                  <c:v>758.46999999999991</c:v>
                </c:pt>
                <c:pt idx="85">
                  <c:v>757.29</c:v>
                </c:pt>
                <c:pt idx="86">
                  <c:v>756.1099999999999</c:v>
                </c:pt>
                <c:pt idx="87">
                  <c:v>754.93</c:v>
                </c:pt>
                <c:pt idx="88">
                  <c:v>753.74999999999989</c:v>
                </c:pt>
                <c:pt idx="89">
                  <c:v>752.56999999999994</c:v>
                </c:pt>
                <c:pt idx="90">
                  <c:v>751.38999999999987</c:v>
                </c:pt>
                <c:pt idx="91">
                  <c:v>750.20999999999992</c:v>
                </c:pt>
                <c:pt idx="92">
                  <c:v>749.03</c:v>
                </c:pt>
                <c:pt idx="93">
                  <c:v>747.84999999999991</c:v>
                </c:pt>
                <c:pt idx="94">
                  <c:v>746.67</c:v>
                </c:pt>
                <c:pt idx="95">
                  <c:v>745.4899999999999</c:v>
                </c:pt>
                <c:pt idx="96">
                  <c:v>744.31</c:v>
                </c:pt>
                <c:pt idx="97">
                  <c:v>743.12999999999988</c:v>
                </c:pt>
                <c:pt idx="98">
                  <c:v>741.94999999999993</c:v>
                </c:pt>
                <c:pt idx="99">
                  <c:v>740.77</c:v>
                </c:pt>
                <c:pt idx="100">
                  <c:v>739.58999999999992</c:v>
                </c:pt>
                <c:pt idx="101">
                  <c:v>738.19999999999982</c:v>
                </c:pt>
                <c:pt idx="102">
                  <c:v>736.59999999999991</c:v>
                </c:pt>
                <c:pt idx="103">
                  <c:v>734.99999999999989</c:v>
                </c:pt>
                <c:pt idx="104">
                  <c:v>733.39999999999986</c:v>
                </c:pt>
                <c:pt idx="105">
                  <c:v>731.79999999999984</c:v>
                </c:pt>
                <c:pt idx="106">
                  <c:v>730.19999999999982</c:v>
                </c:pt>
                <c:pt idx="107">
                  <c:v>728.59999999999991</c:v>
                </c:pt>
                <c:pt idx="108">
                  <c:v>726.99999999999989</c:v>
                </c:pt>
                <c:pt idx="109">
                  <c:v>725.39999999999986</c:v>
                </c:pt>
                <c:pt idx="110">
                  <c:v>723.79999999999984</c:v>
                </c:pt>
                <c:pt idx="111">
                  <c:v>722.19999999999982</c:v>
                </c:pt>
                <c:pt idx="112">
                  <c:v>720.59999999999991</c:v>
                </c:pt>
                <c:pt idx="113">
                  <c:v>718.99999999999989</c:v>
                </c:pt>
                <c:pt idx="114">
                  <c:v>717.39999999999986</c:v>
                </c:pt>
                <c:pt idx="115">
                  <c:v>715.79999999999984</c:v>
                </c:pt>
                <c:pt idx="116">
                  <c:v>714.19999999999982</c:v>
                </c:pt>
                <c:pt idx="117">
                  <c:v>712.59999999999991</c:v>
                </c:pt>
                <c:pt idx="118">
                  <c:v>710.99999999999989</c:v>
                </c:pt>
                <c:pt idx="119">
                  <c:v>709.39999999999986</c:v>
                </c:pt>
                <c:pt idx="120">
                  <c:v>707.79999999999984</c:v>
                </c:pt>
                <c:pt idx="121">
                  <c:v>706.19999999999982</c:v>
                </c:pt>
                <c:pt idx="122">
                  <c:v>704.5999999999998</c:v>
                </c:pt>
                <c:pt idx="123">
                  <c:v>702.99999999999989</c:v>
                </c:pt>
                <c:pt idx="124">
                  <c:v>701.39999999999986</c:v>
                </c:pt>
                <c:pt idx="125">
                  <c:v>699.79999999999984</c:v>
                </c:pt>
                <c:pt idx="126">
                  <c:v>698.19999999999982</c:v>
                </c:pt>
                <c:pt idx="127">
                  <c:v>696.5999999999998</c:v>
                </c:pt>
                <c:pt idx="128">
                  <c:v>694.99999999999989</c:v>
                </c:pt>
                <c:pt idx="129">
                  <c:v>693.39999999999986</c:v>
                </c:pt>
                <c:pt idx="130">
                  <c:v>691.79999999999984</c:v>
                </c:pt>
                <c:pt idx="131">
                  <c:v>690.19999999999982</c:v>
                </c:pt>
                <c:pt idx="132">
                  <c:v>688.5999999999998</c:v>
                </c:pt>
                <c:pt idx="133">
                  <c:v>686.99999999999977</c:v>
                </c:pt>
                <c:pt idx="134">
                  <c:v>685.39999999999986</c:v>
                </c:pt>
                <c:pt idx="135">
                  <c:v>683.79999999999984</c:v>
                </c:pt>
                <c:pt idx="136">
                  <c:v>682.19999999999982</c:v>
                </c:pt>
                <c:pt idx="137">
                  <c:v>680.5999999999998</c:v>
                </c:pt>
                <c:pt idx="138">
                  <c:v>678.99999999999977</c:v>
                </c:pt>
                <c:pt idx="139">
                  <c:v>677.39999999999986</c:v>
                </c:pt>
                <c:pt idx="140">
                  <c:v>675.79999999999984</c:v>
                </c:pt>
                <c:pt idx="141">
                  <c:v>674.19999999999982</c:v>
                </c:pt>
                <c:pt idx="142">
                  <c:v>672.5999999999998</c:v>
                </c:pt>
                <c:pt idx="143">
                  <c:v>670.99999999999977</c:v>
                </c:pt>
                <c:pt idx="144">
                  <c:v>669.39999999999986</c:v>
                </c:pt>
                <c:pt idx="145">
                  <c:v>667.79999999999984</c:v>
                </c:pt>
                <c:pt idx="146">
                  <c:v>666.19999999999982</c:v>
                </c:pt>
                <c:pt idx="147">
                  <c:v>664.5999999999998</c:v>
                </c:pt>
                <c:pt idx="148">
                  <c:v>662.99999999999977</c:v>
                </c:pt>
                <c:pt idx="149">
                  <c:v>661.39999999999986</c:v>
                </c:pt>
                <c:pt idx="150">
                  <c:v>659.79999999999984</c:v>
                </c:pt>
                <c:pt idx="151">
                  <c:v>658.26999999999987</c:v>
                </c:pt>
                <c:pt idx="152">
                  <c:v>656.80999999999983</c:v>
                </c:pt>
                <c:pt idx="153">
                  <c:v>655.3499999999998</c:v>
                </c:pt>
                <c:pt idx="154">
                  <c:v>653.88999999999987</c:v>
                </c:pt>
                <c:pt idx="155">
                  <c:v>652.42999999999984</c:v>
                </c:pt>
                <c:pt idx="156">
                  <c:v>650.9699999999998</c:v>
                </c:pt>
                <c:pt idx="157">
                  <c:v>649.50999999999976</c:v>
                </c:pt>
                <c:pt idx="158">
                  <c:v>648.04999999999984</c:v>
                </c:pt>
                <c:pt idx="159">
                  <c:v>646.5899999999998</c:v>
                </c:pt>
                <c:pt idx="160">
                  <c:v>645.12999999999977</c:v>
                </c:pt>
                <c:pt idx="161">
                  <c:v>643.66999999999985</c:v>
                </c:pt>
                <c:pt idx="162">
                  <c:v>642.20999999999981</c:v>
                </c:pt>
                <c:pt idx="163">
                  <c:v>640.74999999999977</c:v>
                </c:pt>
                <c:pt idx="164">
                  <c:v>639.28999999999985</c:v>
                </c:pt>
                <c:pt idx="165">
                  <c:v>637.82999999999981</c:v>
                </c:pt>
                <c:pt idx="166">
                  <c:v>636.36999999999978</c:v>
                </c:pt>
                <c:pt idx="167">
                  <c:v>634.90999999999985</c:v>
                </c:pt>
                <c:pt idx="168">
                  <c:v>633.44999999999982</c:v>
                </c:pt>
                <c:pt idx="169">
                  <c:v>631.98999999999978</c:v>
                </c:pt>
                <c:pt idx="170">
                  <c:v>630.52999999999975</c:v>
                </c:pt>
                <c:pt idx="171">
                  <c:v>629.06999999999982</c:v>
                </c:pt>
                <c:pt idx="172">
                  <c:v>627.60999999999979</c:v>
                </c:pt>
                <c:pt idx="173">
                  <c:v>626.14999999999975</c:v>
                </c:pt>
                <c:pt idx="174">
                  <c:v>624.68999999999983</c:v>
                </c:pt>
                <c:pt idx="175">
                  <c:v>623.22999999999979</c:v>
                </c:pt>
                <c:pt idx="176">
                  <c:v>621.76999999999975</c:v>
                </c:pt>
                <c:pt idx="177">
                  <c:v>620.30999999999983</c:v>
                </c:pt>
                <c:pt idx="178">
                  <c:v>618.8499999999998</c:v>
                </c:pt>
                <c:pt idx="179">
                  <c:v>617.38999999999976</c:v>
                </c:pt>
                <c:pt idx="180">
                  <c:v>615.92999999999984</c:v>
                </c:pt>
                <c:pt idx="181">
                  <c:v>614.4699999999998</c:v>
                </c:pt>
                <c:pt idx="182">
                  <c:v>613.00999999999976</c:v>
                </c:pt>
                <c:pt idx="183">
                  <c:v>611.54999999999973</c:v>
                </c:pt>
                <c:pt idx="184">
                  <c:v>610.0899999999998</c:v>
                </c:pt>
                <c:pt idx="185">
                  <c:v>608.62999999999977</c:v>
                </c:pt>
                <c:pt idx="186">
                  <c:v>607.16999999999973</c:v>
                </c:pt>
                <c:pt idx="187">
                  <c:v>605.70999999999981</c:v>
                </c:pt>
                <c:pt idx="188">
                  <c:v>604.24999999999977</c:v>
                </c:pt>
                <c:pt idx="189">
                  <c:v>602.78999999999974</c:v>
                </c:pt>
                <c:pt idx="190">
                  <c:v>601.32999999999981</c:v>
                </c:pt>
                <c:pt idx="191">
                  <c:v>599.86999999999978</c:v>
                </c:pt>
                <c:pt idx="192">
                  <c:v>598.40999999999974</c:v>
                </c:pt>
                <c:pt idx="193">
                  <c:v>596.94999999999982</c:v>
                </c:pt>
                <c:pt idx="194">
                  <c:v>595.48999999999978</c:v>
                </c:pt>
                <c:pt idx="195">
                  <c:v>594.02999999999975</c:v>
                </c:pt>
                <c:pt idx="196">
                  <c:v>592.56999999999971</c:v>
                </c:pt>
                <c:pt idx="197">
                  <c:v>591.10999999999979</c:v>
                </c:pt>
                <c:pt idx="198">
                  <c:v>589.64999999999975</c:v>
                </c:pt>
                <c:pt idx="199">
                  <c:v>588.18999999999971</c:v>
                </c:pt>
                <c:pt idx="200">
                  <c:v>586.72999999999979</c:v>
                </c:pt>
                <c:pt idx="201">
                  <c:v>585.26999999999987</c:v>
                </c:pt>
                <c:pt idx="202">
                  <c:v>583.80999999999983</c:v>
                </c:pt>
                <c:pt idx="203">
                  <c:v>582.34999999999991</c:v>
                </c:pt>
                <c:pt idx="204">
                  <c:v>580.88999999999987</c:v>
                </c:pt>
                <c:pt idx="205">
                  <c:v>579.42999999999995</c:v>
                </c:pt>
                <c:pt idx="206">
                  <c:v>577.97</c:v>
                </c:pt>
                <c:pt idx="207">
                  <c:v>576.51</c:v>
                </c:pt>
                <c:pt idx="208">
                  <c:v>575.05000000000007</c:v>
                </c:pt>
                <c:pt idx="209">
                  <c:v>573.59</c:v>
                </c:pt>
                <c:pt idx="210">
                  <c:v>572.13000000000011</c:v>
                </c:pt>
                <c:pt idx="211">
                  <c:v>570.67000000000019</c:v>
                </c:pt>
                <c:pt idx="212">
                  <c:v>569.21000000000015</c:v>
                </c:pt>
                <c:pt idx="213">
                  <c:v>567.75000000000023</c:v>
                </c:pt>
                <c:pt idx="214">
                  <c:v>566.29000000000019</c:v>
                </c:pt>
                <c:pt idx="215">
                  <c:v>564.83000000000027</c:v>
                </c:pt>
                <c:pt idx="216">
                  <c:v>563.37000000000035</c:v>
                </c:pt>
                <c:pt idx="217">
                  <c:v>561.91000000000031</c:v>
                </c:pt>
                <c:pt idx="218">
                  <c:v>560.45000000000039</c:v>
                </c:pt>
                <c:pt idx="219">
                  <c:v>558.99000000000035</c:v>
                </c:pt>
                <c:pt idx="220">
                  <c:v>557.53000000000043</c:v>
                </c:pt>
                <c:pt idx="221">
                  <c:v>556.07000000000039</c:v>
                </c:pt>
                <c:pt idx="222">
                  <c:v>554.61000000000047</c:v>
                </c:pt>
                <c:pt idx="223">
                  <c:v>553.15000000000055</c:v>
                </c:pt>
                <c:pt idx="224">
                  <c:v>551.69000000000051</c:v>
                </c:pt>
                <c:pt idx="225">
                  <c:v>550.23000000000059</c:v>
                </c:pt>
                <c:pt idx="226">
                  <c:v>548.77000000000055</c:v>
                </c:pt>
                <c:pt idx="227">
                  <c:v>547.31000000000063</c:v>
                </c:pt>
                <c:pt idx="228">
                  <c:v>545.8500000000007</c:v>
                </c:pt>
                <c:pt idx="229">
                  <c:v>544.39000000000067</c:v>
                </c:pt>
                <c:pt idx="230">
                  <c:v>542.93000000000075</c:v>
                </c:pt>
                <c:pt idx="231">
                  <c:v>541.47000000000071</c:v>
                </c:pt>
                <c:pt idx="232">
                  <c:v>540.01000000000079</c:v>
                </c:pt>
                <c:pt idx="233">
                  <c:v>538.55000000000086</c:v>
                </c:pt>
                <c:pt idx="234">
                  <c:v>537.09000000000083</c:v>
                </c:pt>
                <c:pt idx="235">
                  <c:v>535.6300000000009</c:v>
                </c:pt>
                <c:pt idx="236">
                  <c:v>534.17000000000087</c:v>
                </c:pt>
                <c:pt idx="237">
                  <c:v>532.71000000000095</c:v>
                </c:pt>
                <c:pt idx="238">
                  <c:v>531.25000000000102</c:v>
                </c:pt>
                <c:pt idx="239">
                  <c:v>529.79000000000099</c:v>
                </c:pt>
                <c:pt idx="240">
                  <c:v>528.33000000000106</c:v>
                </c:pt>
                <c:pt idx="241">
                  <c:v>526.87000000000103</c:v>
                </c:pt>
                <c:pt idx="242">
                  <c:v>525.41000000000111</c:v>
                </c:pt>
                <c:pt idx="243">
                  <c:v>523.95000000000118</c:v>
                </c:pt>
                <c:pt idx="244">
                  <c:v>522.49000000000115</c:v>
                </c:pt>
                <c:pt idx="245">
                  <c:v>521.03000000000122</c:v>
                </c:pt>
                <c:pt idx="246">
                  <c:v>519.57000000000119</c:v>
                </c:pt>
                <c:pt idx="247">
                  <c:v>518.11000000000126</c:v>
                </c:pt>
                <c:pt idx="248">
                  <c:v>516.65000000000123</c:v>
                </c:pt>
                <c:pt idx="249">
                  <c:v>515.19000000000131</c:v>
                </c:pt>
                <c:pt idx="250">
                  <c:v>513.73000000000138</c:v>
                </c:pt>
                <c:pt idx="251">
                  <c:v>511.97872340425727</c:v>
                </c:pt>
                <c:pt idx="252">
                  <c:v>509.93617021276793</c:v>
                </c:pt>
                <c:pt idx="253">
                  <c:v>507.8936170212786</c:v>
                </c:pt>
                <c:pt idx="254">
                  <c:v>505.85106382978927</c:v>
                </c:pt>
                <c:pt idx="255">
                  <c:v>503.80851063829999</c:v>
                </c:pt>
                <c:pt idx="256">
                  <c:v>501.76595744681066</c:v>
                </c:pt>
                <c:pt idx="257">
                  <c:v>499.72340425532133</c:v>
                </c:pt>
                <c:pt idx="258">
                  <c:v>497.68085106383205</c:v>
                </c:pt>
                <c:pt idx="259">
                  <c:v>495.63829787234272</c:v>
                </c:pt>
                <c:pt idx="260">
                  <c:v>493.59574468085339</c:v>
                </c:pt>
                <c:pt idx="261">
                  <c:v>491.55319148936405</c:v>
                </c:pt>
                <c:pt idx="262">
                  <c:v>489.51063829787478</c:v>
                </c:pt>
                <c:pt idx="263">
                  <c:v>487.46808510638544</c:v>
                </c:pt>
                <c:pt idx="264">
                  <c:v>485.42553191489611</c:v>
                </c:pt>
                <c:pt idx="265">
                  <c:v>483.38297872340678</c:v>
                </c:pt>
                <c:pt idx="266">
                  <c:v>481.3404255319175</c:v>
                </c:pt>
                <c:pt idx="267">
                  <c:v>479.29787234042817</c:v>
                </c:pt>
                <c:pt idx="268">
                  <c:v>477.25531914893884</c:v>
                </c:pt>
                <c:pt idx="269">
                  <c:v>475.21276595744951</c:v>
                </c:pt>
                <c:pt idx="270">
                  <c:v>473.17021276596023</c:v>
                </c:pt>
                <c:pt idx="271">
                  <c:v>471.1276595744709</c:v>
                </c:pt>
                <c:pt idx="272">
                  <c:v>469.08510638298156</c:v>
                </c:pt>
                <c:pt idx="273">
                  <c:v>467.04255319149229</c:v>
                </c:pt>
                <c:pt idx="274">
                  <c:v>465.00000000000296</c:v>
                </c:pt>
                <c:pt idx="275">
                  <c:v>462.95744680851362</c:v>
                </c:pt>
                <c:pt idx="276">
                  <c:v>460.91489361702429</c:v>
                </c:pt>
                <c:pt idx="277">
                  <c:v>458.87234042553501</c:v>
                </c:pt>
                <c:pt idx="278">
                  <c:v>456.82978723404568</c:v>
                </c:pt>
                <c:pt idx="279">
                  <c:v>454.78723404255635</c:v>
                </c:pt>
                <c:pt idx="280">
                  <c:v>452.74468085106707</c:v>
                </c:pt>
                <c:pt idx="281">
                  <c:v>450.70212765957774</c:v>
                </c:pt>
                <c:pt idx="282">
                  <c:v>448.65957446808841</c:v>
                </c:pt>
                <c:pt idx="283">
                  <c:v>446.61702127659908</c:v>
                </c:pt>
                <c:pt idx="284">
                  <c:v>444.57446808510974</c:v>
                </c:pt>
                <c:pt idx="285">
                  <c:v>442.53191489362047</c:v>
                </c:pt>
                <c:pt idx="286">
                  <c:v>440.48936170213113</c:v>
                </c:pt>
                <c:pt idx="287">
                  <c:v>438.44680851064186</c:v>
                </c:pt>
                <c:pt idx="288">
                  <c:v>436.40425531915253</c:v>
                </c:pt>
                <c:pt idx="289">
                  <c:v>434.36170212766319</c:v>
                </c:pt>
                <c:pt idx="290">
                  <c:v>432.31914893617386</c:v>
                </c:pt>
                <c:pt idx="291">
                  <c:v>430.27659574468453</c:v>
                </c:pt>
                <c:pt idx="292">
                  <c:v>428.23404255319525</c:v>
                </c:pt>
                <c:pt idx="293">
                  <c:v>426.19148936170592</c:v>
                </c:pt>
                <c:pt idx="294">
                  <c:v>424.14893617021659</c:v>
                </c:pt>
                <c:pt idx="295">
                  <c:v>422.10638297872731</c:v>
                </c:pt>
                <c:pt idx="296">
                  <c:v>420.06382978723798</c:v>
                </c:pt>
                <c:pt idx="297">
                  <c:v>418.02127659574865</c:v>
                </c:pt>
                <c:pt idx="298">
                  <c:v>412.82608695653812</c:v>
                </c:pt>
                <c:pt idx="299">
                  <c:v>404.47826086958179</c:v>
                </c:pt>
                <c:pt idx="300">
                  <c:v>396.13043478262546</c:v>
                </c:pt>
                <c:pt idx="301">
                  <c:v>387.78260869566913</c:v>
                </c:pt>
                <c:pt idx="302">
                  <c:v>379.43478260871274</c:v>
                </c:pt>
                <c:pt idx="303">
                  <c:v>371.08695652175641</c:v>
                </c:pt>
                <c:pt idx="304">
                  <c:v>362.73913043480007</c:v>
                </c:pt>
                <c:pt idx="305">
                  <c:v>354.39130434784374</c:v>
                </c:pt>
                <c:pt idx="306">
                  <c:v>346.04347826088735</c:v>
                </c:pt>
                <c:pt idx="307">
                  <c:v>337.69565217393102</c:v>
                </c:pt>
                <c:pt idx="308">
                  <c:v>329.34782608697469</c:v>
                </c:pt>
                <c:pt idx="309">
                  <c:v>321.00000000001836</c:v>
                </c:pt>
                <c:pt idx="310">
                  <c:v>312.65217391306203</c:v>
                </c:pt>
                <c:pt idx="311">
                  <c:v>304.30434782610564</c:v>
                </c:pt>
                <c:pt idx="312">
                  <c:v>295.95652173914931</c:v>
                </c:pt>
                <c:pt idx="313">
                  <c:v>287.60869565219298</c:v>
                </c:pt>
                <c:pt idx="314">
                  <c:v>279.26086956523659</c:v>
                </c:pt>
                <c:pt idx="315">
                  <c:v>270.91304347828031</c:v>
                </c:pt>
                <c:pt idx="316">
                  <c:v>262.56521739132393</c:v>
                </c:pt>
                <c:pt idx="317">
                  <c:v>254.2173913043676</c:v>
                </c:pt>
                <c:pt idx="318">
                  <c:v>245.86956521741126</c:v>
                </c:pt>
                <c:pt idx="319">
                  <c:v>237.5217391304549</c:v>
                </c:pt>
                <c:pt idx="320">
                  <c:v>229.17391304349857</c:v>
                </c:pt>
                <c:pt idx="321">
                  <c:v>222.07407407408843</c:v>
                </c:pt>
                <c:pt idx="322">
                  <c:v>216.2222222222367</c:v>
                </c:pt>
                <c:pt idx="323">
                  <c:v>210.37037037038499</c:v>
                </c:pt>
                <c:pt idx="324">
                  <c:v>204.51851851853326</c:v>
                </c:pt>
                <c:pt idx="325">
                  <c:v>198.66666666668152</c:v>
                </c:pt>
                <c:pt idx="326">
                  <c:v>192.81481481482979</c:v>
                </c:pt>
                <c:pt idx="327">
                  <c:v>186.96296296297808</c:v>
                </c:pt>
                <c:pt idx="328">
                  <c:v>181.11111111112635</c:v>
                </c:pt>
                <c:pt idx="329">
                  <c:v>175.25925925927461</c:v>
                </c:pt>
                <c:pt idx="330">
                  <c:v>169.40740740742291</c:v>
                </c:pt>
                <c:pt idx="331">
                  <c:v>163.55555555557117</c:v>
                </c:pt>
                <c:pt idx="332">
                  <c:v>157.70370370371944</c:v>
                </c:pt>
                <c:pt idx="333">
                  <c:v>151.85185185186771</c:v>
                </c:pt>
                <c:pt idx="334">
                  <c:v>146.00000000001597</c:v>
                </c:pt>
                <c:pt idx="335">
                  <c:v>140.14814814816427</c:v>
                </c:pt>
                <c:pt idx="336">
                  <c:v>134.29629629631253</c:v>
                </c:pt>
                <c:pt idx="337">
                  <c:v>128.44444444446083</c:v>
                </c:pt>
                <c:pt idx="338">
                  <c:v>122.59259259260908</c:v>
                </c:pt>
                <c:pt idx="339">
                  <c:v>116.74074074075736</c:v>
                </c:pt>
                <c:pt idx="340">
                  <c:v>110.88888888890563</c:v>
                </c:pt>
                <c:pt idx="341">
                  <c:v>105.03703703705391</c:v>
                </c:pt>
                <c:pt idx="342">
                  <c:v>99.185185185202172</c:v>
                </c:pt>
                <c:pt idx="343">
                  <c:v>93.333333333350453</c:v>
                </c:pt>
                <c:pt idx="344">
                  <c:v>87.481481481498719</c:v>
                </c:pt>
                <c:pt idx="345">
                  <c:v>81.629629629646985</c:v>
                </c:pt>
                <c:pt idx="346">
                  <c:v>75.777777777795279</c:v>
                </c:pt>
                <c:pt idx="347">
                  <c:v>69.925925925943545</c:v>
                </c:pt>
                <c:pt idx="348">
                  <c:v>64.20833333335024</c:v>
                </c:pt>
                <c:pt idx="349">
                  <c:v>58.625000000017017</c:v>
                </c:pt>
                <c:pt idx="350">
                  <c:v>53.041666666683788</c:v>
                </c:pt>
                <c:pt idx="351">
                  <c:v>47.458333333350552</c:v>
                </c:pt>
                <c:pt idx="352">
                  <c:v>41.875000000017323</c:v>
                </c:pt>
                <c:pt idx="353">
                  <c:v>36.291666666684094</c:v>
                </c:pt>
                <c:pt idx="354">
                  <c:v>30.708333333350872</c:v>
                </c:pt>
                <c:pt idx="355">
                  <c:v>25.125000000017643</c:v>
                </c:pt>
                <c:pt idx="356">
                  <c:v>19.541666666684407</c:v>
                </c:pt>
                <c:pt idx="357">
                  <c:v>13.958333333351177</c:v>
                </c:pt>
                <c:pt idx="358">
                  <c:v>8.3750000000179483</c:v>
                </c:pt>
                <c:pt idx="359">
                  <c:v>2.7916666666847192</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9438-492B-B11B-4BE6D2E63FA2}"/>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Calculs!$T$4:$T$1004</c:f>
              <c:numCache>
                <c:formatCode>0.00</c:formatCode>
                <c:ptCount val="1001"/>
                <c:pt idx="0">
                  <c:v>95.009850000000014</c:v>
                </c:pt>
                <c:pt idx="1">
                  <c:v>95.005453598531858</c:v>
                </c:pt>
                <c:pt idx="2">
                  <c:v>94.992264394127403</c:v>
                </c:pt>
                <c:pt idx="3">
                  <c:v>94.970282386786636</c:v>
                </c:pt>
                <c:pt idx="4">
                  <c:v>94.93950757650957</c:v>
                </c:pt>
                <c:pt idx="5">
                  <c:v>94.899939963296191</c:v>
                </c:pt>
                <c:pt idx="6">
                  <c:v>94.856027915535108</c:v>
                </c:pt>
                <c:pt idx="7">
                  <c:v>94.812219801614873</c:v>
                </c:pt>
                <c:pt idx="8">
                  <c:v>94.768515621535471</c:v>
                </c:pt>
                <c:pt idx="9">
                  <c:v>94.724915375296959</c:v>
                </c:pt>
                <c:pt idx="10">
                  <c:v>94.681419062899295</c:v>
                </c:pt>
                <c:pt idx="11">
                  <c:v>94.638026684342464</c:v>
                </c:pt>
                <c:pt idx="12">
                  <c:v>94.594738239626508</c:v>
                </c:pt>
                <c:pt idx="13">
                  <c:v>94.551553728751387</c:v>
                </c:pt>
                <c:pt idx="14">
                  <c:v>94.508473151717141</c:v>
                </c:pt>
                <c:pt idx="15">
                  <c:v>94.465496508523742</c:v>
                </c:pt>
                <c:pt idx="16">
                  <c:v>94.422623799171191</c:v>
                </c:pt>
                <c:pt idx="17">
                  <c:v>94.379855023659502</c:v>
                </c:pt>
                <c:pt idx="18">
                  <c:v>94.33719018198866</c:v>
                </c:pt>
                <c:pt idx="19">
                  <c:v>94.29462927415868</c:v>
                </c:pt>
                <c:pt idx="20">
                  <c:v>94.252172300169562</c:v>
                </c:pt>
                <c:pt idx="21">
                  <c:v>94.209819260021277</c:v>
                </c:pt>
                <c:pt idx="22">
                  <c:v>94.167570153713854</c:v>
                </c:pt>
                <c:pt idx="23">
                  <c:v>94.125424981247292</c:v>
                </c:pt>
                <c:pt idx="24">
                  <c:v>94.083383742621592</c:v>
                </c:pt>
                <c:pt idx="25">
                  <c:v>94.04144643783674</c:v>
                </c:pt>
                <c:pt idx="26">
                  <c:v>93.999613066892735</c:v>
                </c:pt>
                <c:pt idx="27">
                  <c:v>93.957883629789578</c:v>
                </c:pt>
                <c:pt idx="28">
                  <c:v>93.916258126527296</c:v>
                </c:pt>
                <c:pt idx="29">
                  <c:v>93.874736557105876</c:v>
                </c:pt>
                <c:pt idx="30">
                  <c:v>93.83331892152529</c:v>
                </c:pt>
                <c:pt idx="31">
                  <c:v>93.792005219785565</c:v>
                </c:pt>
                <c:pt idx="32">
                  <c:v>93.750795451886688</c:v>
                </c:pt>
                <c:pt idx="33">
                  <c:v>93.709689617828673</c:v>
                </c:pt>
                <c:pt idx="34">
                  <c:v>93.668687717611519</c:v>
                </c:pt>
                <c:pt idx="35">
                  <c:v>93.627789751235213</c:v>
                </c:pt>
                <c:pt idx="36">
                  <c:v>93.586995718699754</c:v>
                </c:pt>
                <c:pt idx="37">
                  <c:v>93.546305620005143</c:v>
                </c:pt>
                <c:pt idx="38">
                  <c:v>93.505719455151407</c:v>
                </c:pt>
                <c:pt idx="39">
                  <c:v>93.465237224138519</c:v>
                </c:pt>
                <c:pt idx="40">
                  <c:v>93.424858926966493</c:v>
                </c:pt>
                <c:pt idx="41">
                  <c:v>93.3845845636353</c:v>
                </c:pt>
                <c:pt idx="42">
                  <c:v>93.344414134144969</c:v>
                </c:pt>
                <c:pt idx="43">
                  <c:v>93.304347638495514</c:v>
                </c:pt>
                <c:pt idx="44">
                  <c:v>93.264385076686892</c:v>
                </c:pt>
                <c:pt idx="45">
                  <c:v>93.224526448719132</c:v>
                </c:pt>
                <c:pt idx="46">
                  <c:v>93.184771754592219</c:v>
                </c:pt>
                <c:pt idx="47">
                  <c:v>93.145120994306183</c:v>
                </c:pt>
                <c:pt idx="48">
                  <c:v>93.105574167860993</c:v>
                </c:pt>
                <c:pt idx="49">
                  <c:v>93.066131275256652</c:v>
                </c:pt>
                <c:pt idx="50">
                  <c:v>93.026792316493157</c:v>
                </c:pt>
                <c:pt idx="51">
                  <c:v>92.987534371423507</c:v>
                </c:pt>
                <c:pt idx="52">
                  <c:v>92.948334519900712</c:v>
                </c:pt>
                <c:pt idx="53">
                  <c:v>92.909192761924743</c:v>
                </c:pt>
                <c:pt idx="54">
                  <c:v>92.8701090974956</c:v>
                </c:pt>
                <c:pt idx="55">
                  <c:v>92.831083526613298</c:v>
                </c:pt>
                <c:pt idx="56">
                  <c:v>92.792116049277837</c:v>
                </c:pt>
                <c:pt idx="57">
                  <c:v>92.753206665489202</c:v>
                </c:pt>
                <c:pt idx="58">
                  <c:v>92.714355375247422</c:v>
                </c:pt>
                <c:pt idx="59">
                  <c:v>92.675562178552454</c:v>
                </c:pt>
                <c:pt idx="60">
                  <c:v>92.636827075404327</c:v>
                </c:pt>
                <c:pt idx="61">
                  <c:v>92.598150065803054</c:v>
                </c:pt>
                <c:pt idx="62">
                  <c:v>92.559531149748608</c:v>
                </c:pt>
                <c:pt idx="63">
                  <c:v>92.520970327240988</c:v>
                </c:pt>
                <c:pt idx="64">
                  <c:v>92.482467598280209</c:v>
                </c:pt>
                <c:pt idx="65">
                  <c:v>92.444022962866256</c:v>
                </c:pt>
                <c:pt idx="66">
                  <c:v>92.405636420999159</c:v>
                </c:pt>
                <c:pt idx="67">
                  <c:v>92.367307972678887</c:v>
                </c:pt>
                <c:pt idx="68">
                  <c:v>92.329037617905442</c:v>
                </c:pt>
                <c:pt idx="69">
                  <c:v>92.290825356678837</c:v>
                </c:pt>
                <c:pt idx="70">
                  <c:v>92.252671188999074</c:v>
                </c:pt>
                <c:pt idx="71">
                  <c:v>92.21457511486615</c:v>
                </c:pt>
                <c:pt idx="72">
                  <c:v>92.176537134280053</c:v>
                </c:pt>
                <c:pt idx="73">
                  <c:v>92.138557247240797</c:v>
                </c:pt>
                <c:pt idx="74">
                  <c:v>92.100635453748367</c:v>
                </c:pt>
                <c:pt idx="75">
                  <c:v>92.062771753802792</c:v>
                </c:pt>
                <c:pt idx="76">
                  <c:v>92.024966147404044</c:v>
                </c:pt>
                <c:pt idx="77">
                  <c:v>91.987218634552121</c:v>
                </c:pt>
                <c:pt idx="78">
                  <c:v>91.94952921524704</c:v>
                </c:pt>
                <c:pt idx="79">
                  <c:v>91.911897889488785</c:v>
                </c:pt>
                <c:pt idx="80">
                  <c:v>91.87432465727737</c:v>
                </c:pt>
                <c:pt idx="81">
                  <c:v>91.836809518612796</c:v>
                </c:pt>
                <c:pt idx="82">
                  <c:v>91.799352473495063</c:v>
                </c:pt>
                <c:pt idx="83">
                  <c:v>91.761953521924156</c:v>
                </c:pt>
                <c:pt idx="84">
                  <c:v>91.724612663900089</c:v>
                </c:pt>
                <c:pt idx="85">
                  <c:v>91.687329899422863</c:v>
                </c:pt>
                <c:pt idx="86">
                  <c:v>91.650105228492464</c:v>
                </c:pt>
                <c:pt idx="87">
                  <c:v>91.612938651108905</c:v>
                </c:pt>
                <c:pt idx="88">
                  <c:v>91.575830167272173</c:v>
                </c:pt>
                <c:pt idx="89">
                  <c:v>91.538779776982281</c:v>
                </c:pt>
                <c:pt idx="90">
                  <c:v>91.50178748023923</c:v>
                </c:pt>
                <c:pt idx="91">
                  <c:v>91.464853277043005</c:v>
                </c:pt>
                <c:pt idx="92">
                  <c:v>91.427977167393621</c:v>
                </c:pt>
                <c:pt idx="93">
                  <c:v>91.391159151291077</c:v>
                </c:pt>
                <c:pt idx="94">
                  <c:v>91.354399228735375</c:v>
                </c:pt>
                <c:pt idx="95">
                  <c:v>91.317697399726498</c:v>
                </c:pt>
                <c:pt idx="96">
                  <c:v>91.281053664264448</c:v>
                </c:pt>
                <c:pt idx="97">
                  <c:v>91.244468022349238</c:v>
                </c:pt>
                <c:pt idx="98">
                  <c:v>91.207940473980884</c:v>
                </c:pt>
                <c:pt idx="99">
                  <c:v>91.171471019159341</c:v>
                </c:pt>
                <c:pt idx="100">
                  <c:v>91.135059657884653</c:v>
                </c:pt>
                <c:pt idx="101">
                  <c:v>91.098716728838852</c:v>
                </c:pt>
                <c:pt idx="102">
                  <c:v>91.062452570704011</c:v>
                </c:pt>
                <c:pt idx="103">
                  <c:v>91.02626718348013</c:v>
                </c:pt>
                <c:pt idx="104">
                  <c:v>90.990160567167223</c:v>
                </c:pt>
                <c:pt idx="105">
                  <c:v>90.954132721765262</c:v>
                </c:pt>
                <c:pt idx="106">
                  <c:v>90.918183647274276</c:v>
                </c:pt>
                <c:pt idx="107">
                  <c:v>90.88231334369425</c:v>
                </c:pt>
                <c:pt idx="108">
                  <c:v>90.846521811025212</c:v>
                </c:pt>
                <c:pt idx="109">
                  <c:v>90.810809049267121</c:v>
                </c:pt>
                <c:pt idx="110">
                  <c:v>90.775175058420004</c:v>
                </c:pt>
                <c:pt idx="111">
                  <c:v>90.739619838483847</c:v>
                </c:pt>
                <c:pt idx="112">
                  <c:v>90.70414338945865</c:v>
                </c:pt>
                <c:pt idx="113">
                  <c:v>90.668745711344414</c:v>
                </c:pt>
                <c:pt idx="114">
                  <c:v>90.633426804141152</c:v>
                </c:pt>
                <c:pt idx="115">
                  <c:v>90.59818666784885</c:v>
                </c:pt>
                <c:pt idx="116">
                  <c:v>90.563025302467508</c:v>
                </c:pt>
                <c:pt idx="117">
                  <c:v>90.527942707997127</c:v>
                </c:pt>
                <c:pt idx="118">
                  <c:v>90.492938884437706</c:v>
                </c:pt>
                <c:pt idx="119">
                  <c:v>90.458013831789245</c:v>
                </c:pt>
                <c:pt idx="120">
                  <c:v>90.423167550051758</c:v>
                </c:pt>
                <c:pt idx="121">
                  <c:v>90.388400039225232</c:v>
                </c:pt>
                <c:pt idx="122">
                  <c:v>90.353711299309666</c:v>
                </c:pt>
                <c:pt idx="123">
                  <c:v>90.31910133030506</c:v>
                </c:pt>
                <c:pt idx="124">
                  <c:v>90.284570132211414</c:v>
                </c:pt>
                <c:pt idx="125">
                  <c:v>90.250117705028742</c:v>
                </c:pt>
                <c:pt idx="126">
                  <c:v>90.215744048757017</c:v>
                </c:pt>
                <c:pt idx="127">
                  <c:v>90.181449163396266</c:v>
                </c:pt>
                <c:pt idx="128">
                  <c:v>90.147233048946475</c:v>
                </c:pt>
                <c:pt idx="129">
                  <c:v>90.113095705407659</c:v>
                </c:pt>
                <c:pt idx="130">
                  <c:v>90.079037132779789</c:v>
                </c:pt>
                <c:pt idx="131">
                  <c:v>90.045057331062907</c:v>
                </c:pt>
                <c:pt idx="132">
                  <c:v>90.011156300256985</c:v>
                </c:pt>
                <c:pt idx="133">
                  <c:v>89.977334040362024</c:v>
                </c:pt>
                <c:pt idx="134">
                  <c:v>89.943590551378037</c:v>
                </c:pt>
                <c:pt idx="135">
                  <c:v>89.909925833304996</c:v>
                </c:pt>
                <c:pt idx="136">
                  <c:v>89.876339886142929</c:v>
                </c:pt>
                <c:pt idx="137">
                  <c:v>89.842832709891823</c:v>
                </c:pt>
                <c:pt idx="138">
                  <c:v>89.809404304551677</c:v>
                </c:pt>
                <c:pt idx="139">
                  <c:v>89.776054670122491</c:v>
                </c:pt>
                <c:pt idx="140">
                  <c:v>89.74278380660428</c:v>
                </c:pt>
                <c:pt idx="141">
                  <c:v>89.709591713997014</c:v>
                </c:pt>
                <c:pt idx="142">
                  <c:v>89.676478392300723</c:v>
                </c:pt>
                <c:pt idx="143">
                  <c:v>89.643443841515392</c:v>
                </c:pt>
                <c:pt idx="144">
                  <c:v>89.610488061641021</c:v>
                </c:pt>
                <c:pt idx="145">
                  <c:v>89.577611052677625</c:v>
                </c:pt>
                <c:pt idx="146">
                  <c:v>89.544812814625175</c:v>
                </c:pt>
                <c:pt idx="147">
                  <c:v>89.512093347483699</c:v>
                </c:pt>
                <c:pt idx="148">
                  <c:v>89.479452651253183</c:v>
                </c:pt>
                <c:pt idx="149">
                  <c:v>89.446890725933628</c:v>
                </c:pt>
                <c:pt idx="150">
                  <c:v>89.414407571525032</c:v>
                </c:pt>
                <c:pt idx="151">
                  <c:v>89.381999741800058</c:v>
                </c:pt>
                <c:pt idx="152">
                  <c:v>89.349663790531338</c:v>
                </c:pt>
                <c:pt idx="153">
                  <c:v>89.317399717718871</c:v>
                </c:pt>
                <c:pt idx="154">
                  <c:v>89.285207523362672</c:v>
                </c:pt>
                <c:pt idx="155">
                  <c:v>89.253087207462713</c:v>
                </c:pt>
                <c:pt idx="156">
                  <c:v>89.221038770019007</c:v>
                </c:pt>
                <c:pt idx="157">
                  <c:v>89.189062211031555</c:v>
                </c:pt>
                <c:pt idx="158">
                  <c:v>89.157157530500356</c:v>
                </c:pt>
                <c:pt idx="159">
                  <c:v>89.125324728425412</c:v>
                </c:pt>
                <c:pt idx="160">
                  <c:v>89.09356380480672</c:v>
                </c:pt>
                <c:pt idx="161">
                  <c:v>89.061874759644269</c:v>
                </c:pt>
                <c:pt idx="162">
                  <c:v>89.030257592938099</c:v>
                </c:pt>
                <c:pt idx="163">
                  <c:v>88.998712304688183</c:v>
                </c:pt>
                <c:pt idx="164">
                  <c:v>88.967238894894521</c:v>
                </c:pt>
                <c:pt idx="165">
                  <c:v>88.935837363557098</c:v>
                </c:pt>
                <c:pt idx="166">
                  <c:v>88.904507710675944</c:v>
                </c:pt>
                <c:pt idx="167">
                  <c:v>88.873249936251028</c:v>
                </c:pt>
                <c:pt idx="168">
                  <c:v>88.842064040282366</c:v>
                </c:pt>
                <c:pt idx="169">
                  <c:v>88.810950022769973</c:v>
                </c:pt>
                <c:pt idx="170">
                  <c:v>88.779907883713818</c:v>
                </c:pt>
                <c:pt idx="171">
                  <c:v>88.748937623113918</c:v>
                </c:pt>
                <c:pt idx="172">
                  <c:v>88.718039240970285</c:v>
                </c:pt>
                <c:pt idx="173">
                  <c:v>88.687212737282906</c:v>
                </c:pt>
                <c:pt idx="174">
                  <c:v>88.65645811205178</c:v>
                </c:pt>
                <c:pt idx="175">
                  <c:v>88.625775365276908</c:v>
                </c:pt>
                <c:pt idx="176">
                  <c:v>88.59516449695829</c:v>
                </c:pt>
                <c:pt idx="177">
                  <c:v>88.564625507095926</c:v>
                </c:pt>
                <c:pt idx="178">
                  <c:v>88.534158395689801</c:v>
                </c:pt>
                <c:pt idx="179">
                  <c:v>88.503763162739943</c:v>
                </c:pt>
                <c:pt idx="180">
                  <c:v>88.47343980824634</c:v>
                </c:pt>
                <c:pt idx="181">
                  <c:v>88.443188332208976</c:v>
                </c:pt>
                <c:pt idx="182">
                  <c:v>88.413008734627894</c:v>
                </c:pt>
                <c:pt idx="183">
                  <c:v>88.382901015503052</c:v>
                </c:pt>
                <c:pt idx="184">
                  <c:v>88.352865174834463</c:v>
                </c:pt>
                <c:pt idx="185">
                  <c:v>88.322901212622142</c:v>
                </c:pt>
                <c:pt idx="186">
                  <c:v>88.293009128866061</c:v>
                </c:pt>
                <c:pt idx="187">
                  <c:v>88.263188923566233</c:v>
                </c:pt>
                <c:pt idx="188">
                  <c:v>88.233440596722659</c:v>
                </c:pt>
                <c:pt idx="189">
                  <c:v>88.203764148335338</c:v>
                </c:pt>
                <c:pt idx="190">
                  <c:v>88.174159578404272</c:v>
                </c:pt>
                <c:pt idx="191">
                  <c:v>88.144626886929458</c:v>
                </c:pt>
                <c:pt idx="192">
                  <c:v>88.115166073910913</c:v>
                </c:pt>
                <c:pt idx="193">
                  <c:v>88.085777139348608</c:v>
                </c:pt>
                <c:pt idx="194">
                  <c:v>88.05646008324257</c:v>
                </c:pt>
                <c:pt idx="195">
                  <c:v>88.027214905592785</c:v>
                </c:pt>
                <c:pt idx="196">
                  <c:v>87.998041606399241</c:v>
                </c:pt>
                <c:pt idx="197">
                  <c:v>87.968940185661964</c:v>
                </c:pt>
                <c:pt idx="198">
                  <c:v>87.939910643380927</c:v>
                </c:pt>
                <c:pt idx="199">
                  <c:v>87.910952979556157</c:v>
                </c:pt>
                <c:pt idx="200">
                  <c:v>87.882067194187627</c:v>
                </c:pt>
                <c:pt idx="201">
                  <c:v>87.853253287275365</c:v>
                </c:pt>
                <c:pt idx="202">
                  <c:v>87.824511258819371</c:v>
                </c:pt>
                <c:pt idx="203">
                  <c:v>87.795841108819616</c:v>
                </c:pt>
                <c:pt idx="204">
                  <c:v>87.767242837276115</c:v>
                </c:pt>
                <c:pt idx="205">
                  <c:v>87.738716444188867</c:v>
                </c:pt>
                <c:pt idx="206">
                  <c:v>87.710261929557873</c:v>
                </c:pt>
                <c:pt idx="207">
                  <c:v>87.681879293383133</c:v>
                </c:pt>
                <c:pt idx="208">
                  <c:v>87.653568535664633</c:v>
                </c:pt>
                <c:pt idx="209">
                  <c:v>87.6253296564024</c:v>
                </c:pt>
                <c:pt idx="210">
                  <c:v>87.597162655596421</c:v>
                </c:pt>
                <c:pt idx="211">
                  <c:v>87.569067533246695</c:v>
                </c:pt>
                <c:pt idx="212">
                  <c:v>87.541044289353238</c:v>
                </c:pt>
                <c:pt idx="213">
                  <c:v>87.513092923916034</c:v>
                </c:pt>
                <c:pt idx="214">
                  <c:v>87.485213436935069</c:v>
                </c:pt>
                <c:pt idx="215">
                  <c:v>87.457405828410373</c:v>
                </c:pt>
                <c:pt idx="216">
                  <c:v>87.429670098341916</c:v>
                </c:pt>
                <c:pt idx="217">
                  <c:v>87.402006246729712</c:v>
                </c:pt>
                <c:pt idx="218">
                  <c:v>87.374414273573763</c:v>
                </c:pt>
                <c:pt idx="219">
                  <c:v>87.346894178874066</c:v>
                </c:pt>
                <c:pt idx="220">
                  <c:v>87.319445962630624</c:v>
                </c:pt>
                <c:pt idx="221">
                  <c:v>87.29206962484345</c:v>
                </c:pt>
                <c:pt idx="222">
                  <c:v>87.264765165512529</c:v>
                </c:pt>
                <c:pt idx="223">
                  <c:v>87.237532584637862</c:v>
                </c:pt>
                <c:pt idx="224">
                  <c:v>87.210371882219448</c:v>
                </c:pt>
                <c:pt idx="225">
                  <c:v>87.183283058257288</c:v>
                </c:pt>
                <c:pt idx="226">
                  <c:v>87.156266112751382</c:v>
                </c:pt>
                <c:pt idx="227">
                  <c:v>87.129321045701715</c:v>
                </c:pt>
                <c:pt idx="228">
                  <c:v>87.102447857108316</c:v>
                </c:pt>
                <c:pt idx="229">
                  <c:v>87.075646546971157</c:v>
                </c:pt>
                <c:pt idx="230">
                  <c:v>87.048917115290251</c:v>
                </c:pt>
                <c:pt idx="231">
                  <c:v>87.022259562065628</c:v>
                </c:pt>
                <c:pt idx="232">
                  <c:v>86.995673887297244</c:v>
                </c:pt>
                <c:pt idx="233">
                  <c:v>86.969160090985127</c:v>
                </c:pt>
                <c:pt idx="234">
                  <c:v>86.942718173129251</c:v>
                </c:pt>
                <c:pt idx="235">
                  <c:v>86.916348133729628</c:v>
                </c:pt>
                <c:pt idx="236">
                  <c:v>86.890049972786258</c:v>
                </c:pt>
                <c:pt idx="237">
                  <c:v>86.863823690299142</c:v>
                </c:pt>
                <c:pt idx="238">
                  <c:v>86.83766928626828</c:v>
                </c:pt>
                <c:pt idx="239">
                  <c:v>86.811586760693658</c:v>
                </c:pt>
                <c:pt idx="240">
                  <c:v>86.785576113575303</c:v>
                </c:pt>
                <c:pt idx="241">
                  <c:v>86.759637344913216</c:v>
                </c:pt>
                <c:pt idx="242">
                  <c:v>86.733770454707383</c:v>
                </c:pt>
                <c:pt idx="243">
                  <c:v>86.707975442957789</c:v>
                </c:pt>
                <c:pt idx="244">
                  <c:v>86.682252309664463</c:v>
                </c:pt>
                <c:pt idx="245">
                  <c:v>86.656601054827377</c:v>
                </c:pt>
                <c:pt idx="246">
                  <c:v>86.631021678446558</c:v>
                </c:pt>
                <c:pt idx="247">
                  <c:v>86.605514180521979</c:v>
                </c:pt>
                <c:pt idx="248">
                  <c:v>86.580078561053654</c:v>
                </c:pt>
                <c:pt idx="249">
                  <c:v>86.554714820041582</c:v>
                </c:pt>
                <c:pt idx="250">
                  <c:v>86.529422957485778</c:v>
                </c:pt>
                <c:pt idx="251">
                  <c:v>86.504217313462959</c:v>
                </c:pt>
                <c:pt idx="252">
                  <c:v>86.479112228049885</c:v>
                </c:pt>
                <c:pt idx="253">
                  <c:v>86.454107701246556</c:v>
                </c:pt>
                <c:pt idx="254">
                  <c:v>86.429203733052972</c:v>
                </c:pt>
                <c:pt idx="255">
                  <c:v>86.404400323469119</c:v>
                </c:pt>
                <c:pt idx="256">
                  <c:v>86.379697472495025</c:v>
                </c:pt>
                <c:pt idx="257">
                  <c:v>86.355095180130661</c:v>
                </c:pt>
                <c:pt idx="258">
                  <c:v>86.330593446376028</c:v>
                </c:pt>
                <c:pt idx="259">
                  <c:v>86.306192271231154</c:v>
                </c:pt>
                <c:pt idx="260">
                  <c:v>86.281891654696011</c:v>
                </c:pt>
                <c:pt idx="261">
                  <c:v>86.257691596770613</c:v>
                </c:pt>
                <c:pt idx="262">
                  <c:v>86.233592097454945</c:v>
                </c:pt>
                <c:pt idx="263">
                  <c:v>86.209593156749037</c:v>
                </c:pt>
                <c:pt idx="264">
                  <c:v>86.185694774652859</c:v>
                </c:pt>
                <c:pt idx="265">
                  <c:v>86.161896951166426</c:v>
                </c:pt>
                <c:pt idx="266">
                  <c:v>86.138199686289724</c:v>
                </c:pt>
                <c:pt idx="267">
                  <c:v>86.114602980022781</c:v>
                </c:pt>
                <c:pt idx="268">
                  <c:v>86.091106832365568</c:v>
                </c:pt>
                <c:pt idx="269">
                  <c:v>86.067711243318072</c:v>
                </c:pt>
                <c:pt idx="270">
                  <c:v>86.044416212880336</c:v>
                </c:pt>
                <c:pt idx="271">
                  <c:v>86.021221741052329</c:v>
                </c:pt>
                <c:pt idx="272">
                  <c:v>85.998127827834054</c:v>
                </c:pt>
                <c:pt idx="273">
                  <c:v>85.975134473225538</c:v>
                </c:pt>
                <c:pt idx="274">
                  <c:v>85.952241677226752</c:v>
                </c:pt>
                <c:pt idx="275">
                  <c:v>85.929449439837711</c:v>
                </c:pt>
                <c:pt idx="276">
                  <c:v>85.906757761058415</c:v>
                </c:pt>
                <c:pt idx="277">
                  <c:v>85.884166640888864</c:v>
                </c:pt>
                <c:pt idx="278">
                  <c:v>85.861676079329044</c:v>
                </c:pt>
                <c:pt idx="279">
                  <c:v>85.839286076378968</c:v>
                </c:pt>
                <c:pt idx="280">
                  <c:v>85.816996632038638</c:v>
                </c:pt>
                <c:pt idx="281">
                  <c:v>85.794807746308038</c:v>
                </c:pt>
                <c:pt idx="282">
                  <c:v>85.772719419187183</c:v>
                </c:pt>
                <c:pt idx="283">
                  <c:v>85.750731650676073</c:v>
                </c:pt>
                <c:pt idx="284">
                  <c:v>85.728844440774708</c:v>
                </c:pt>
                <c:pt idx="285">
                  <c:v>85.707057789483073</c:v>
                </c:pt>
                <c:pt idx="286">
                  <c:v>85.685371696801184</c:v>
                </c:pt>
                <c:pt idx="287">
                  <c:v>85.663786162729039</c:v>
                </c:pt>
                <c:pt idx="288">
                  <c:v>85.642301187266639</c:v>
                </c:pt>
                <c:pt idx="289">
                  <c:v>85.62091677041397</c:v>
                </c:pt>
                <c:pt idx="290">
                  <c:v>85.599632912171046</c:v>
                </c:pt>
                <c:pt idx="291">
                  <c:v>85.578449612537867</c:v>
                </c:pt>
                <c:pt idx="292">
                  <c:v>85.557366871514432</c:v>
                </c:pt>
                <c:pt idx="293">
                  <c:v>85.536384689100728</c:v>
                </c:pt>
                <c:pt idx="294">
                  <c:v>85.51550306529677</c:v>
                </c:pt>
                <c:pt idx="295">
                  <c:v>85.494722000102556</c:v>
                </c:pt>
                <c:pt idx="296">
                  <c:v>85.474041493518087</c:v>
                </c:pt>
                <c:pt idx="297">
                  <c:v>85.453461545543348</c:v>
                </c:pt>
                <c:pt idx="298">
                  <c:v>85.433137366206424</c:v>
                </c:pt>
                <c:pt idx="299">
                  <c:v>85.413224165535411</c:v>
                </c:pt>
                <c:pt idx="300">
                  <c:v>85.393721943530267</c:v>
                </c:pt>
                <c:pt idx="301">
                  <c:v>85.374630700191034</c:v>
                </c:pt>
                <c:pt idx="302">
                  <c:v>85.355950435517698</c:v>
                </c:pt>
                <c:pt idx="303">
                  <c:v>85.33768114951026</c:v>
                </c:pt>
                <c:pt idx="304">
                  <c:v>85.319822842168719</c:v>
                </c:pt>
                <c:pt idx="305">
                  <c:v>85.302375513493061</c:v>
                </c:pt>
                <c:pt idx="306">
                  <c:v>85.285339163483314</c:v>
                </c:pt>
                <c:pt idx="307">
                  <c:v>85.268713792139479</c:v>
                </c:pt>
                <c:pt idx="308">
                  <c:v>85.252499399461513</c:v>
                </c:pt>
                <c:pt idx="309">
                  <c:v>85.236695985449444</c:v>
                </c:pt>
                <c:pt idx="310">
                  <c:v>85.221303550103286</c:v>
                </c:pt>
                <c:pt idx="311">
                  <c:v>85.206322093423026</c:v>
                </c:pt>
                <c:pt idx="312">
                  <c:v>85.191751615408648</c:v>
                </c:pt>
                <c:pt idx="313">
                  <c:v>85.177592116060183</c:v>
                </c:pt>
                <c:pt idx="314">
                  <c:v>85.1638435953776</c:v>
                </c:pt>
                <c:pt idx="315">
                  <c:v>85.150506053360928</c:v>
                </c:pt>
                <c:pt idx="316">
                  <c:v>85.13757949001014</c:v>
                </c:pt>
                <c:pt idx="317">
                  <c:v>85.125063905325248</c:v>
                </c:pt>
                <c:pt idx="318">
                  <c:v>85.112959299306269</c:v>
                </c:pt>
                <c:pt idx="319">
                  <c:v>85.101265671953186</c:v>
                </c:pt>
                <c:pt idx="320">
                  <c:v>85.089983023265972</c:v>
                </c:pt>
                <c:pt idx="321">
                  <c:v>85.079049912568351</c:v>
                </c:pt>
                <c:pt idx="322">
                  <c:v>85.06840489918396</c:v>
                </c:pt>
                <c:pt idx="323">
                  <c:v>85.058047983112829</c:v>
                </c:pt>
                <c:pt idx="324">
                  <c:v>85.047979164354942</c:v>
                </c:pt>
                <c:pt idx="325">
                  <c:v>85.038198442910286</c:v>
                </c:pt>
                <c:pt idx="326">
                  <c:v>85.028705818778889</c:v>
                </c:pt>
                <c:pt idx="327">
                  <c:v>85.019501291960751</c:v>
                </c:pt>
                <c:pt idx="328">
                  <c:v>85.010584862455858</c:v>
                </c:pt>
                <c:pt idx="329">
                  <c:v>85.001956530264209</c:v>
                </c:pt>
                <c:pt idx="330">
                  <c:v>84.993616295385806</c:v>
                </c:pt>
                <c:pt idx="331">
                  <c:v>84.985564157820647</c:v>
                </c:pt>
                <c:pt idx="332">
                  <c:v>84.977800117568748</c:v>
                </c:pt>
                <c:pt idx="333">
                  <c:v>84.970324174630079</c:v>
                </c:pt>
                <c:pt idx="334">
                  <c:v>84.963136329004655</c:v>
                </c:pt>
                <c:pt idx="335">
                  <c:v>84.95623658069249</c:v>
                </c:pt>
                <c:pt idx="336">
                  <c:v>84.949624929693556</c:v>
                </c:pt>
                <c:pt idx="337">
                  <c:v>84.943301376007881</c:v>
                </c:pt>
                <c:pt idx="338">
                  <c:v>84.937265919635436</c:v>
                </c:pt>
                <c:pt idx="339">
                  <c:v>84.931518560576251</c:v>
                </c:pt>
                <c:pt idx="340">
                  <c:v>84.92605929883031</c:v>
                </c:pt>
                <c:pt idx="341">
                  <c:v>84.9208881343976</c:v>
                </c:pt>
                <c:pt idx="342">
                  <c:v>84.916005067278149</c:v>
                </c:pt>
                <c:pt idx="343">
                  <c:v>84.911410097471943</c:v>
                </c:pt>
                <c:pt idx="344">
                  <c:v>84.907103224978982</c:v>
                </c:pt>
                <c:pt idx="345">
                  <c:v>84.903084449799266</c:v>
                </c:pt>
                <c:pt idx="346">
                  <c:v>84.899353771932795</c:v>
                </c:pt>
                <c:pt idx="347">
                  <c:v>84.895911191379568</c:v>
                </c:pt>
                <c:pt idx="348">
                  <c:v>84.892750098311993</c:v>
                </c:pt>
                <c:pt idx="349">
                  <c:v>84.889863882902475</c:v>
                </c:pt>
                <c:pt idx="350">
                  <c:v>84.887252545151014</c:v>
                </c:pt>
                <c:pt idx="351">
                  <c:v>84.884916085057583</c:v>
                </c:pt>
                <c:pt idx="352">
                  <c:v>84.882854502622209</c:v>
                </c:pt>
                <c:pt idx="353">
                  <c:v>84.881067797844892</c:v>
                </c:pt>
                <c:pt idx="354">
                  <c:v>84.879555970725619</c:v>
                </c:pt>
                <c:pt idx="355">
                  <c:v>84.878319021264389</c:v>
                </c:pt>
                <c:pt idx="356">
                  <c:v>84.87735694946123</c:v>
                </c:pt>
                <c:pt idx="357">
                  <c:v>84.876669755316101</c:v>
                </c:pt>
                <c:pt idx="358">
                  <c:v>84.876257438829029</c:v>
                </c:pt>
                <c:pt idx="359">
                  <c:v>84.87612</c:v>
                </c:pt>
                <c:pt idx="360">
                  <c:v>84.87612</c:v>
                </c:pt>
                <c:pt idx="361">
                  <c:v>84.87612</c:v>
                </c:pt>
                <c:pt idx="362">
                  <c:v>84.87612</c:v>
                </c:pt>
                <c:pt idx="363">
                  <c:v>84.87612</c:v>
                </c:pt>
                <c:pt idx="364">
                  <c:v>84.87612</c:v>
                </c:pt>
                <c:pt idx="365">
                  <c:v>84.87612</c:v>
                </c:pt>
                <c:pt idx="366">
                  <c:v>84.87612</c:v>
                </c:pt>
                <c:pt idx="367">
                  <c:v>84.87612</c:v>
                </c:pt>
                <c:pt idx="368">
                  <c:v>84.87612</c:v>
                </c:pt>
                <c:pt idx="369">
                  <c:v>84.87612</c:v>
                </c:pt>
                <c:pt idx="370">
                  <c:v>84.87612</c:v>
                </c:pt>
                <c:pt idx="371">
                  <c:v>84.87612</c:v>
                </c:pt>
                <c:pt idx="372">
                  <c:v>84.87612</c:v>
                </c:pt>
                <c:pt idx="373">
                  <c:v>84.87612</c:v>
                </c:pt>
                <c:pt idx="374">
                  <c:v>84.87612</c:v>
                </c:pt>
                <c:pt idx="375">
                  <c:v>84.87612</c:v>
                </c:pt>
                <c:pt idx="376">
                  <c:v>84.87612</c:v>
                </c:pt>
                <c:pt idx="377">
                  <c:v>84.87612</c:v>
                </c:pt>
                <c:pt idx="378">
                  <c:v>84.87612</c:v>
                </c:pt>
                <c:pt idx="379">
                  <c:v>84.87612</c:v>
                </c:pt>
                <c:pt idx="380">
                  <c:v>84.87612</c:v>
                </c:pt>
                <c:pt idx="381">
                  <c:v>84.87612</c:v>
                </c:pt>
                <c:pt idx="382">
                  <c:v>84.87612</c:v>
                </c:pt>
                <c:pt idx="383">
                  <c:v>84.87612</c:v>
                </c:pt>
                <c:pt idx="384">
                  <c:v>84.87612</c:v>
                </c:pt>
                <c:pt idx="385">
                  <c:v>84.87612</c:v>
                </c:pt>
                <c:pt idx="386">
                  <c:v>84.87612</c:v>
                </c:pt>
                <c:pt idx="387">
                  <c:v>84.87612</c:v>
                </c:pt>
                <c:pt idx="388">
                  <c:v>84.87612</c:v>
                </c:pt>
                <c:pt idx="389">
                  <c:v>84.87612</c:v>
                </c:pt>
                <c:pt idx="390">
                  <c:v>84.87612</c:v>
                </c:pt>
                <c:pt idx="391">
                  <c:v>84.87612</c:v>
                </c:pt>
                <c:pt idx="392">
                  <c:v>84.87612</c:v>
                </c:pt>
                <c:pt idx="393">
                  <c:v>84.87612</c:v>
                </c:pt>
                <c:pt idx="394">
                  <c:v>84.87612</c:v>
                </c:pt>
                <c:pt idx="395">
                  <c:v>84.87612</c:v>
                </c:pt>
                <c:pt idx="396">
                  <c:v>84.87612</c:v>
                </c:pt>
                <c:pt idx="397">
                  <c:v>84.87612</c:v>
                </c:pt>
                <c:pt idx="398">
                  <c:v>84.87612</c:v>
                </c:pt>
                <c:pt idx="399">
                  <c:v>84.87612</c:v>
                </c:pt>
                <c:pt idx="400">
                  <c:v>84.87612</c:v>
                </c:pt>
                <c:pt idx="401">
                  <c:v>84.87612</c:v>
                </c:pt>
                <c:pt idx="402">
                  <c:v>84.87612</c:v>
                </c:pt>
                <c:pt idx="403">
                  <c:v>84.87612</c:v>
                </c:pt>
                <c:pt idx="404">
                  <c:v>84.87612</c:v>
                </c:pt>
                <c:pt idx="405">
                  <c:v>84.87612</c:v>
                </c:pt>
                <c:pt idx="406">
                  <c:v>84.87612</c:v>
                </c:pt>
                <c:pt idx="407">
                  <c:v>84.87612</c:v>
                </c:pt>
                <c:pt idx="408">
                  <c:v>84.87612</c:v>
                </c:pt>
                <c:pt idx="409">
                  <c:v>84.87612</c:v>
                </c:pt>
                <c:pt idx="410">
                  <c:v>84.87612</c:v>
                </c:pt>
                <c:pt idx="411">
                  <c:v>84.87612</c:v>
                </c:pt>
                <c:pt idx="412">
                  <c:v>84.87612</c:v>
                </c:pt>
                <c:pt idx="413">
                  <c:v>84.87612</c:v>
                </c:pt>
                <c:pt idx="414">
                  <c:v>84.87612</c:v>
                </c:pt>
                <c:pt idx="415">
                  <c:v>84.87612</c:v>
                </c:pt>
                <c:pt idx="416">
                  <c:v>84.87612</c:v>
                </c:pt>
                <c:pt idx="417">
                  <c:v>84.87612</c:v>
                </c:pt>
                <c:pt idx="418">
                  <c:v>84.87612</c:v>
                </c:pt>
                <c:pt idx="419">
                  <c:v>84.87612</c:v>
                </c:pt>
                <c:pt idx="420">
                  <c:v>84.87612</c:v>
                </c:pt>
                <c:pt idx="421">
                  <c:v>84.87612</c:v>
                </c:pt>
                <c:pt idx="422">
                  <c:v>84.87612</c:v>
                </c:pt>
                <c:pt idx="423">
                  <c:v>84.87612</c:v>
                </c:pt>
                <c:pt idx="424">
                  <c:v>84.87612</c:v>
                </c:pt>
                <c:pt idx="425">
                  <c:v>84.87612</c:v>
                </c:pt>
                <c:pt idx="426">
                  <c:v>84.87612</c:v>
                </c:pt>
                <c:pt idx="427">
                  <c:v>84.87612</c:v>
                </c:pt>
                <c:pt idx="428">
                  <c:v>84.87612</c:v>
                </c:pt>
                <c:pt idx="429">
                  <c:v>84.87612</c:v>
                </c:pt>
                <c:pt idx="430">
                  <c:v>84.87612</c:v>
                </c:pt>
                <c:pt idx="431">
                  <c:v>84.87612</c:v>
                </c:pt>
                <c:pt idx="432">
                  <c:v>84.87612</c:v>
                </c:pt>
                <c:pt idx="433">
                  <c:v>84.87612</c:v>
                </c:pt>
                <c:pt idx="434">
                  <c:v>84.87612</c:v>
                </c:pt>
                <c:pt idx="435">
                  <c:v>84.87612</c:v>
                </c:pt>
                <c:pt idx="436">
                  <c:v>84.87612</c:v>
                </c:pt>
                <c:pt idx="437">
                  <c:v>84.87612</c:v>
                </c:pt>
                <c:pt idx="438">
                  <c:v>84.87612</c:v>
                </c:pt>
                <c:pt idx="439">
                  <c:v>84.87612</c:v>
                </c:pt>
                <c:pt idx="440">
                  <c:v>84.87612</c:v>
                </c:pt>
                <c:pt idx="441">
                  <c:v>84.87612</c:v>
                </c:pt>
                <c:pt idx="442">
                  <c:v>84.87612</c:v>
                </c:pt>
                <c:pt idx="443">
                  <c:v>84.87612</c:v>
                </c:pt>
                <c:pt idx="444">
                  <c:v>84.87612</c:v>
                </c:pt>
                <c:pt idx="445">
                  <c:v>84.87612</c:v>
                </c:pt>
                <c:pt idx="446">
                  <c:v>84.87612</c:v>
                </c:pt>
                <c:pt idx="447">
                  <c:v>84.87612</c:v>
                </c:pt>
                <c:pt idx="448">
                  <c:v>84.87612</c:v>
                </c:pt>
                <c:pt idx="449">
                  <c:v>84.87612</c:v>
                </c:pt>
                <c:pt idx="450">
                  <c:v>84.87612</c:v>
                </c:pt>
                <c:pt idx="451">
                  <c:v>84.87612</c:v>
                </c:pt>
                <c:pt idx="452">
                  <c:v>84.87612</c:v>
                </c:pt>
                <c:pt idx="453">
                  <c:v>84.87612</c:v>
                </c:pt>
                <c:pt idx="454">
                  <c:v>84.87612</c:v>
                </c:pt>
                <c:pt idx="455">
                  <c:v>84.87612</c:v>
                </c:pt>
                <c:pt idx="456">
                  <c:v>84.87612</c:v>
                </c:pt>
                <c:pt idx="457">
                  <c:v>84.87612</c:v>
                </c:pt>
                <c:pt idx="458">
                  <c:v>84.87612</c:v>
                </c:pt>
                <c:pt idx="459">
                  <c:v>84.87612</c:v>
                </c:pt>
                <c:pt idx="460">
                  <c:v>84.87612</c:v>
                </c:pt>
                <c:pt idx="461">
                  <c:v>84.87612</c:v>
                </c:pt>
                <c:pt idx="462">
                  <c:v>84.87612</c:v>
                </c:pt>
                <c:pt idx="463">
                  <c:v>84.87612</c:v>
                </c:pt>
                <c:pt idx="464">
                  <c:v>84.87612</c:v>
                </c:pt>
                <c:pt idx="465">
                  <c:v>84.87612</c:v>
                </c:pt>
                <c:pt idx="466">
                  <c:v>84.87612</c:v>
                </c:pt>
                <c:pt idx="467">
                  <c:v>84.87612</c:v>
                </c:pt>
                <c:pt idx="468">
                  <c:v>84.87612</c:v>
                </c:pt>
                <c:pt idx="469">
                  <c:v>84.87612</c:v>
                </c:pt>
                <c:pt idx="470">
                  <c:v>84.87612</c:v>
                </c:pt>
                <c:pt idx="471">
                  <c:v>84.87612</c:v>
                </c:pt>
                <c:pt idx="472">
                  <c:v>84.87612</c:v>
                </c:pt>
                <c:pt idx="473">
                  <c:v>84.87612</c:v>
                </c:pt>
                <c:pt idx="474">
                  <c:v>84.87612</c:v>
                </c:pt>
                <c:pt idx="475">
                  <c:v>84.87612</c:v>
                </c:pt>
                <c:pt idx="476">
                  <c:v>84.87612</c:v>
                </c:pt>
                <c:pt idx="477">
                  <c:v>84.87612</c:v>
                </c:pt>
                <c:pt idx="478">
                  <c:v>84.87612</c:v>
                </c:pt>
                <c:pt idx="479">
                  <c:v>84.87612</c:v>
                </c:pt>
                <c:pt idx="480">
                  <c:v>84.87612</c:v>
                </c:pt>
                <c:pt idx="481">
                  <c:v>84.87612</c:v>
                </c:pt>
                <c:pt idx="482">
                  <c:v>84.87612</c:v>
                </c:pt>
                <c:pt idx="483">
                  <c:v>84.87612</c:v>
                </c:pt>
                <c:pt idx="484">
                  <c:v>84.87612</c:v>
                </c:pt>
                <c:pt idx="485">
                  <c:v>84.87612</c:v>
                </c:pt>
                <c:pt idx="486">
                  <c:v>84.87612</c:v>
                </c:pt>
                <c:pt idx="487">
                  <c:v>84.87612</c:v>
                </c:pt>
                <c:pt idx="488">
                  <c:v>84.87612</c:v>
                </c:pt>
                <c:pt idx="489">
                  <c:v>84.87612</c:v>
                </c:pt>
                <c:pt idx="490">
                  <c:v>84.87612</c:v>
                </c:pt>
                <c:pt idx="491">
                  <c:v>84.87612</c:v>
                </c:pt>
                <c:pt idx="492">
                  <c:v>84.87612</c:v>
                </c:pt>
                <c:pt idx="493">
                  <c:v>84.87612</c:v>
                </c:pt>
                <c:pt idx="494">
                  <c:v>84.87612</c:v>
                </c:pt>
                <c:pt idx="495">
                  <c:v>84.87612</c:v>
                </c:pt>
                <c:pt idx="496">
                  <c:v>84.87612</c:v>
                </c:pt>
                <c:pt idx="497">
                  <c:v>84.87612</c:v>
                </c:pt>
                <c:pt idx="498">
                  <c:v>84.87612</c:v>
                </c:pt>
                <c:pt idx="499">
                  <c:v>84.87612</c:v>
                </c:pt>
                <c:pt idx="500">
                  <c:v>84.87612</c:v>
                </c:pt>
                <c:pt idx="501">
                  <c:v>84.87612</c:v>
                </c:pt>
                <c:pt idx="502">
                  <c:v>84.87612</c:v>
                </c:pt>
                <c:pt idx="503">
                  <c:v>84.87612</c:v>
                </c:pt>
                <c:pt idx="504">
                  <c:v>84.87612</c:v>
                </c:pt>
                <c:pt idx="505">
                  <c:v>84.87612</c:v>
                </c:pt>
                <c:pt idx="506">
                  <c:v>84.87612</c:v>
                </c:pt>
                <c:pt idx="507">
                  <c:v>84.87612</c:v>
                </c:pt>
                <c:pt idx="508">
                  <c:v>84.87612</c:v>
                </c:pt>
                <c:pt idx="509">
                  <c:v>84.87612</c:v>
                </c:pt>
                <c:pt idx="510">
                  <c:v>84.87612</c:v>
                </c:pt>
                <c:pt idx="511">
                  <c:v>84.87612</c:v>
                </c:pt>
                <c:pt idx="512">
                  <c:v>84.87612</c:v>
                </c:pt>
                <c:pt idx="513">
                  <c:v>84.87612</c:v>
                </c:pt>
                <c:pt idx="514">
                  <c:v>84.87612</c:v>
                </c:pt>
                <c:pt idx="515">
                  <c:v>84.87612</c:v>
                </c:pt>
                <c:pt idx="516">
                  <c:v>84.87612</c:v>
                </c:pt>
                <c:pt idx="517">
                  <c:v>84.87612</c:v>
                </c:pt>
                <c:pt idx="518">
                  <c:v>84.87612</c:v>
                </c:pt>
                <c:pt idx="519">
                  <c:v>84.87612</c:v>
                </c:pt>
                <c:pt idx="520">
                  <c:v>84.87612</c:v>
                </c:pt>
                <c:pt idx="521">
                  <c:v>84.87612</c:v>
                </c:pt>
                <c:pt idx="522">
                  <c:v>84.87612</c:v>
                </c:pt>
                <c:pt idx="523">
                  <c:v>84.87612</c:v>
                </c:pt>
                <c:pt idx="524">
                  <c:v>84.87612</c:v>
                </c:pt>
                <c:pt idx="525">
                  <c:v>84.87612</c:v>
                </c:pt>
                <c:pt idx="526">
                  <c:v>84.87612</c:v>
                </c:pt>
                <c:pt idx="527">
                  <c:v>84.87612</c:v>
                </c:pt>
                <c:pt idx="528">
                  <c:v>84.87612</c:v>
                </c:pt>
                <c:pt idx="529">
                  <c:v>84.87612</c:v>
                </c:pt>
                <c:pt idx="530">
                  <c:v>84.87612</c:v>
                </c:pt>
                <c:pt idx="531">
                  <c:v>84.87612</c:v>
                </c:pt>
                <c:pt idx="532">
                  <c:v>84.87612</c:v>
                </c:pt>
                <c:pt idx="533">
                  <c:v>84.87612</c:v>
                </c:pt>
                <c:pt idx="534">
                  <c:v>84.87612</c:v>
                </c:pt>
                <c:pt idx="535">
                  <c:v>84.87612</c:v>
                </c:pt>
                <c:pt idx="536">
                  <c:v>84.87612</c:v>
                </c:pt>
                <c:pt idx="537">
                  <c:v>84.87612</c:v>
                </c:pt>
                <c:pt idx="538">
                  <c:v>84.87612</c:v>
                </c:pt>
                <c:pt idx="539">
                  <c:v>84.87612</c:v>
                </c:pt>
                <c:pt idx="540">
                  <c:v>84.87612</c:v>
                </c:pt>
                <c:pt idx="541">
                  <c:v>84.87612</c:v>
                </c:pt>
                <c:pt idx="542">
                  <c:v>84.87612</c:v>
                </c:pt>
                <c:pt idx="543">
                  <c:v>84.87612</c:v>
                </c:pt>
                <c:pt idx="544">
                  <c:v>84.87612</c:v>
                </c:pt>
                <c:pt idx="545">
                  <c:v>84.87612</c:v>
                </c:pt>
                <c:pt idx="546">
                  <c:v>84.87612</c:v>
                </c:pt>
                <c:pt idx="547">
                  <c:v>84.87612</c:v>
                </c:pt>
                <c:pt idx="548">
                  <c:v>84.87612</c:v>
                </c:pt>
                <c:pt idx="549">
                  <c:v>84.87612</c:v>
                </c:pt>
                <c:pt idx="550">
                  <c:v>84.87612</c:v>
                </c:pt>
                <c:pt idx="551">
                  <c:v>84.87612</c:v>
                </c:pt>
                <c:pt idx="552">
                  <c:v>84.87612</c:v>
                </c:pt>
                <c:pt idx="553">
                  <c:v>84.87612</c:v>
                </c:pt>
                <c:pt idx="554">
                  <c:v>84.87612</c:v>
                </c:pt>
                <c:pt idx="555">
                  <c:v>84.87612</c:v>
                </c:pt>
                <c:pt idx="556">
                  <c:v>84.87612</c:v>
                </c:pt>
                <c:pt idx="557">
                  <c:v>84.87612</c:v>
                </c:pt>
                <c:pt idx="558">
                  <c:v>84.87612</c:v>
                </c:pt>
                <c:pt idx="559">
                  <c:v>84.87612</c:v>
                </c:pt>
                <c:pt idx="560">
                  <c:v>84.87612</c:v>
                </c:pt>
                <c:pt idx="561">
                  <c:v>84.87612</c:v>
                </c:pt>
                <c:pt idx="562">
                  <c:v>84.87612</c:v>
                </c:pt>
                <c:pt idx="563">
                  <c:v>84.87612</c:v>
                </c:pt>
                <c:pt idx="564">
                  <c:v>84.87612</c:v>
                </c:pt>
                <c:pt idx="565">
                  <c:v>84.87612</c:v>
                </c:pt>
                <c:pt idx="566">
                  <c:v>84.87612</c:v>
                </c:pt>
                <c:pt idx="567">
                  <c:v>84.87612</c:v>
                </c:pt>
                <c:pt idx="568">
                  <c:v>84.87612</c:v>
                </c:pt>
                <c:pt idx="569">
                  <c:v>84.87612</c:v>
                </c:pt>
                <c:pt idx="570">
                  <c:v>84.87612</c:v>
                </c:pt>
                <c:pt idx="571">
                  <c:v>84.87612</c:v>
                </c:pt>
                <c:pt idx="572">
                  <c:v>84.87612</c:v>
                </c:pt>
                <c:pt idx="573">
                  <c:v>84.87612</c:v>
                </c:pt>
                <c:pt idx="574">
                  <c:v>84.87612</c:v>
                </c:pt>
                <c:pt idx="575">
                  <c:v>84.87612</c:v>
                </c:pt>
                <c:pt idx="576">
                  <c:v>84.87612</c:v>
                </c:pt>
                <c:pt idx="577">
                  <c:v>84.87612</c:v>
                </c:pt>
                <c:pt idx="578">
                  <c:v>84.87612</c:v>
                </c:pt>
                <c:pt idx="579">
                  <c:v>84.87612</c:v>
                </c:pt>
                <c:pt idx="580">
                  <c:v>84.87612</c:v>
                </c:pt>
                <c:pt idx="581">
                  <c:v>84.87612</c:v>
                </c:pt>
                <c:pt idx="582">
                  <c:v>84.87612</c:v>
                </c:pt>
                <c:pt idx="583">
                  <c:v>84.87612</c:v>
                </c:pt>
                <c:pt idx="584">
                  <c:v>84.87612</c:v>
                </c:pt>
                <c:pt idx="585">
                  <c:v>84.87612</c:v>
                </c:pt>
                <c:pt idx="586">
                  <c:v>84.87612</c:v>
                </c:pt>
                <c:pt idx="587">
                  <c:v>84.87612</c:v>
                </c:pt>
                <c:pt idx="588">
                  <c:v>84.87612</c:v>
                </c:pt>
                <c:pt idx="589">
                  <c:v>84.87612</c:v>
                </c:pt>
                <c:pt idx="590">
                  <c:v>84.87612</c:v>
                </c:pt>
                <c:pt idx="591">
                  <c:v>84.87612</c:v>
                </c:pt>
                <c:pt idx="592">
                  <c:v>84.87612</c:v>
                </c:pt>
                <c:pt idx="593">
                  <c:v>84.87612</c:v>
                </c:pt>
                <c:pt idx="594">
                  <c:v>84.87612</c:v>
                </c:pt>
                <c:pt idx="595">
                  <c:v>84.87612</c:v>
                </c:pt>
                <c:pt idx="596">
                  <c:v>84.87612</c:v>
                </c:pt>
                <c:pt idx="597">
                  <c:v>84.87612</c:v>
                </c:pt>
                <c:pt idx="598">
                  <c:v>84.87612</c:v>
                </c:pt>
                <c:pt idx="599">
                  <c:v>84.87612</c:v>
                </c:pt>
                <c:pt idx="600">
                  <c:v>84.87612</c:v>
                </c:pt>
                <c:pt idx="601">
                  <c:v>84.87612</c:v>
                </c:pt>
                <c:pt idx="602">
                  <c:v>84.87612</c:v>
                </c:pt>
                <c:pt idx="603">
                  <c:v>84.87612</c:v>
                </c:pt>
                <c:pt idx="604">
                  <c:v>84.87612</c:v>
                </c:pt>
                <c:pt idx="605">
                  <c:v>84.87612</c:v>
                </c:pt>
                <c:pt idx="606">
                  <c:v>84.87612</c:v>
                </c:pt>
                <c:pt idx="607">
                  <c:v>84.87612</c:v>
                </c:pt>
                <c:pt idx="608">
                  <c:v>84.87612</c:v>
                </c:pt>
                <c:pt idx="609">
                  <c:v>84.87612</c:v>
                </c:pt>
                <c:pt idx="610">
                  <c:v>84.87612</c:v>
                </c:pt>
                <c:pt idx="611">
                  <c:v>84.87612</c:v>
                </c:pt>
                <c:pt idx="612">
                  <c:v>84.87612</c:v>
                </c:pt>
                <c:pt idx="613">
                  <c:v>84.87612</c:v>
                </c:pt>
                <c:pt idx="614">
                  <c:v>84.87612</c:v>
                </c:pt>
                <c:pt idx="615">
                  <c:v>84.87612</c:v>
                </c:pt>
                <c:pt idx="616">
                  <c:v>84.87612</c:v>
                </c:pt>
                <c:pt idx="617">
                  <c:v>84.87612</c:v>
                </c:pt>
                <c:pt idx="618">
                  <c:v>84.87612</c:v>
                </c:pt>
                <c:pt idx="619">
                  <c:v>84.87612</c:v>
                </c:pt>
                <c:pt idx="620">
                  <c:v>84.87612</c:v>
                </c:pt>
                <c:pt idx="621">
                  <c:v>84.87612</c:v>
                </c:pt>
                <c:pt idx="622">
                  <c:v>84.87612</c:v>
                </c:pt>
                <c:pt idx="623">
                  <c:v>84.87612</c:v>
                </c:pt>
                <c:pt idx="624">
                  <c:v>84.87612</c:v>
                </c:pt>
                <c:pt idx="625">
                  <c:v>84.87612</c:v>
                </c:pt>
                <c:pt idx="626">
                  <c:v>84.87612</c:v>
                </c:pt>
                <c:pt idx="627">
                  <c:v>84.87612</c:v>
                </c:pt>
                <c:pt idx="628">
                  <c:v>84.87612</c:v>
                </c:pt>
                <c:pt idx="629">
                  <c:v>84.87612</c:v>
                </c:pt>
                <c:pt idx="630">
                  <c:v>84.87612</c:v>
                </c:pt>
                <c:pt idx="631">
                  <c:v>84.87612</c:v>
                </c:pt>
                <c:pt idx="632">
                  <c:v>84.87612</c:v>
                </c:pt>
                <c:pt idx="633">
                  <c:v>84.87612</c:v>
                </c:pt>
                <c:pt idx="634">
                  <c:v>84.87612</c:v>
                </c:pt>
                <c:pt idx="635">
                  <c:v>84.87612</c:v>
                </c:pt>
                <c:pt idx="636">
                  <c:v>84.87612</c:v>
                </c:pt>
                <c:pt idx="637">
                  <c:v>84.87612</c:v>
                </c:pt>
                <c:pt idx="638">
                  <c:v>84.87612</c:v>
                </c:pt>
                <c:pt idx="639">
                  <c:v>84.87612</c:v>
                </c:pt>
                <c:pt idx="640">
                  <c:v>84.87612</c:v>
                </c:pt>
                <c:pt idx="641">
                  <c:v>84.87612</c:v>
                </c:pt>
                <c:pt idx="642">
                  <c:v>84.87612</c:v>
                </c:pt>
                <c:pt idx="643">
                  <c:v>84.87612</c:v>
                </c:pt>
                <c:pt idx="644">
                  <c:v>84.87612</c:v>
                </c:pt>
                <c:pt idx="645">
                  <c:v>84.87612</c:v>
                </c:pt>
                <c:pt idx="646">
                  <c:v>84.87612</c:v>
                </c:pt>
                <c:pt idx="647">
                  <c:v>84.87612</c:v>
                </c:pt>
                <c:pt idx="648">
                  <c:v>84.87612</c:v>
                </c:pt>
                <c:pt idx="649">
                  <c:v>84.87612</c:v>
                </c:pt>
                <c:pt idx="650">
                  <c:v>84.87612</c:v>
                </c:pt>
                <c:pt idx="651">
                  <c:v>84.87612</c:v>
                </c:pt>
                <c:pt idx="652">
                  <c:v>84.87612</c:v>
                </c:pt>
                <c:pt idx="653">
                  <c:v>84.87612</c:v>
                </c:pt>
                <c:pt idx="654">
                  <c:v>84.87612</c:v>
                </c:pt>
                <c:pt idx="655">
                  <c:v>84.87612</c:v>
                </c:pt>
                <c:pt idx="656">
                  <c:v>84.87612</c:v>
                </c:pt>
                <c:pt idx="657">
                  <c:v>84.87612</c:v>
                </c:pt>
                <c:pt idx="658">
                  <c:v>84.87612</c:v>
                </c:pt>
                <c:pt idx="659">
                  <c:v>84.87612</c:v>
                </c:pt>
                <c:pt idx="660">
                  <c:v>84.87612</c:v>
                </c:pt>
                <c:pt idx="661">
                  <c:v>84.87612</c:v>
                </c:pt>
                <c:pt idx="662">
                  <c:v>84.87612</c:v>
                </c:pt>
                <c:pt idx="663">
                  <c:v>84.87612</c:v>
                </c:pt>
                <c:pt idx="664">
                  <c:v>84.87612</c:v>
                </c:pt>
                <c:pt idx="665">
                  <c:v>84.87612</c:v>
                </c:pt>
                <c:pt idx="666">
                  <c:v>84.87612</c:v>
                </c:pt>
                <c:pt idx="667">
                  <c:v>84.87612</c:v>
                </c:pt>
                <c:pt idx="668">
                  <c:v>84.87612</c:v>
                </c:pt>
                <c:pt idx="669">
                  <c:v>84.87612</c:v>
                </c:pt>
                <c:pt idx="670">
                  <c:v>84.87612</c:v>
                </c:pt>
                <c:pt idx="671">
                  <c:v>84.87612</c:v>
                </c:pt>
                <c:pt idx="672">
                  <c:v>84.87612</c:v>
                </c:pt>
                <c:pt idx="673">
                  <c:v>84.87612</c:v>
                </c:pt>
                <c:pt idx="674">
                  <c:v>84.87612</c:v>
                </c:pt>
                <c:pt idx="675">
                  <c:v>84.87612</c:v>
                </c:pt>
                <c:pt idx="676">
                  <c:v>84.87612</c:v>
                </c:pt>
                <c:pt idx="677">
                  <c:v>84.87612</c:v>
                </c:pt>
                <c:pt idx="678">
                  <c:v>84.87612</c:v>
                </c:pt>
                <c:pt idx="679">
                  <c:v>84.87612</c:v>
                </c:pt>
                <c:pt idx="680">
                  <c:v>84.87612</c:v>
                </c:pt>
                <c:pt idx="681">
                  <c:v>84.87612</c:v>
                </c:pt>
                <c:pt idx="682">
                  <c:v>84.87612</c:v>
                </c:pt>
                <c:pt idx="683">
                  <c:v>84.87612</c:v>
                </c:pt>
                <c:pt idx="684">
                  <c:v>84.87612</c:v>
                </c:pt>
                <c:pt idx="685">
                  <c:v>84.87612</c:v>
                </c:pt>
                <c:pt idx="686">
                  <c:v>84.87612</c:v>
                </c:pt>
                <c:pt idx="687">
                  <c:v>84.87612</c:v>
                </c:pt>
                <c:pt idx="688">
                  <c:v>84.87612</c:v>
                </c:pt>
                <c:pt idx="689">
                  <c:v>84.87612</c:v>
                </c:pt>
                <c:pt idx="690">
                  <c:v>84.87612</c:v>
                </c:pt>
                <c:pt idx="691">
                  <c:v>84.87612</c:v>
                </c:pt>
                <c:pt idx="692">
                  <c:v>84.87612</c:v>
                </c:pt>
                <c:pt idx="693">
                  <c:v>84.87612</c:v>
                </c:pt>
                <c:pt idx="694">
                  <c:v>84.87612</c:v>
                </c:pt>
                <c:pt idx="695">
                  <c:v>84.87612</c:v>
                </c:pt>
                <c:pt idx="696">
                  <c:v>84.87612</c:v>
                </c:pt>
                <c:pt idx="697">
                  <c:v>84.87612</c:v>
                </c:pt>
                <c:pt idx="698">
                  <c:v>84.87612</c:v>
                </c:pt>
                <c:pt idx="699">
                  <c:v>84.87612</c:v>
                </c:pt>
                <c:pt idx="700">
                  <c:v>84.87612</c:v>
                </c:pt>
                <c:pt idx="701">
                  <c:v>84.87612</c:v>
                </c:pt>
                <c:pt idx="702">
                  <c:v>84.87612</c:v>
                </c:pt>
                <c:pt idx="703">
                  <c:v>84.87612</c:v>
                </c:pt>
                <c:pt idx="704">
                  <c:v>84.87612</c:v>
                </c:pt>
                <c:pt idx="705">
                  <c:v>84.87612</c:v>
                </c:pt>
                <c:pt idx="706">
                  <c:v>84.87612</c:v>
                </c:pt>
                <c:pt idx="707">
                  <c:v>84.87612</c:v>
                </c:pt>
                <c:pt idx="708">
                  <c:v>84.87612</c:v>
                </c:pt>
                <c:pt idx="709">
                  <c:v>84.87612</c:v>
                </c:pt>
                <c:pt idx="710">
                  <c:v>84.87612</c:v>
                </c:pt>
                <c:pt idx="711">
                  <c:v>84.87612</c:v>
                </c:pt>
                <c:pt idx="712">
                  <c:v>84.87612</c:v>
                </c:pt>
                <c:pt idx="713">
                  <c:v>84.87612</c:v>
                </c:pt>
                <c:pt idx="714">
                  <c:v>84.87612</c:v>
                </c:pt>
                <c:pt idx="715">
                  <c:v>84.87612</c:v>
                </c:pt>
                <c:pt idx="716">
                  <c:v>84.87612</c:v>
                </c:pt>
                <c:pt idx="717">
                  <c:v>84.87612</c:v>
                </c:pt>
                <c:pt idx="718">
                  <c:v>84.87612</c:v>
                </c:pt>
                <c:pt idx="719">
                  <c:v>84.87612</c:v>
                </c:pt>
                <c:pt idx="720">
                  <c:v>84.87612</c:v>
                </c:pt>
                <c:pt idx="721">
                  <c:v>84.87612</c:v>
                </c:pt>
                <c:pt idx="722">
                  <c:v>84.87612</c:v>
                </c:pt>
                <c:pt idx="723">
                  <c:v>84.87612</c:v>
                </c:pt>
                <c:pt idx="724">
                  <c:v>84.87612</c:v>
                </c:pt>
                <c:pt idx="725">
                  <c:v>84.87612</c:v>
                </c:pt>
                <c:pt idx="726">
                  <c:v>84.87612</c:v>
                </c:pt>
                <c:pt idx="727">
                  <c:v>84.87612</c:v>
                </c:pt>
                <c:pt idx="728">
                  <c:v>84.87612</c:v>
                </c:pt>
                <c:pt idx="729">
                  <c:v>84.87612</c:v>
                </c:pt>
                <c:pt idx="730">
                  <c:v>84.87612</c:v>
                </c:pt>
                <c:pt idx="731">
                  <c:v>84.87612</c:v>
                </c:pt>
                <c:pt idx="732">
                  <c:v>84.87612</c:v>
                </c:pt>
                <c:pt idx="733">
                  <c:v>84.87612</c:v>
                </c:pt>
                <c:pt idx="734">
                  <c:v>84.87612</c:v>
                </c:pt>
                <c:pt idx="735">
                  <c:v>84.87612</c:v>
                </c:pt>
                <c:pt idx="736">
                  <c:v>84.87612</c:v>
                </c:pt>
                <c:pt idx="737">
                  <c:v>84.87612</c:v>
                </c:pt>
                <c:pt idx="738">
                  <c:v>84.87612</c:v>
                </c:pt>
                <c:pt idx="739">
                  <c:v>84.87612</c:v>
                </c:pt>
                <c:pt idx="740">
                  <c:v>84.87612</c:v>
                </c:pt>
                <c:pt idx="741">
                  <c:v>84.87612</c:v>
                </c:pt>
                <c:pt idx="742">
                  <c:v>84.87612</c:v>
                </c:pt>
                <c:pt idx="743">
                  <c:v>84.87612</c:v>
                </c:pt>
                <c:pt idx="744">
                  <c:v>84.87612</c:v>
                </c:pt>
                <c:pt idx="745">
                  <c:v>84.87612</c:v>
                </c:pt>
                <c:pt idx="746">
                  <c:v>84.87612</c:v>
                </c:pt>
                <c:pt idx="747">
                  <c:v>84.87612</c:v>
                </c:pt>
                <c:pt idx="748">
                  <c:v>84.87612</c:v>
                </c:pt>
                <c:pt idx="749">
                  <c:v>84.87612</c:v>
                </c:pt>
                <c:pt idx="750">
                  <c:v>84.87612</c:v>
                </c:pt>
                <c:pt idx="751">
                  <c:v>84.87612</c:v>
                </c:pt>
                <c:pt idx="752">
                  <c:v>84.87612</c:v>
                </c:pt>
                <c:pt idx="753">
                  <c:v>84.87612</c:v>
                </c:pt>
                <c:pt idx="754">
                  <c:v>84.87612</c:v>
                </c:pt>
                <c:pt idx="755">
                  <c:v>84.87612</c:v>
                </c:pt>
                <c:pt idx="756">
                  <c:v>84.87612</c:v>
                </c:pt>
                <c:pt idx="757">
                  <c:v>84.87612</c:v>
                </c:pt>
                <c:pt idx="758">
                  <c:v>84.87612</c:v>
                </c:pt>
                <c:pt idx="759">
                  <c:v>84.87612</c:v>
                </c:pt>
                <c:pt idx="760">
                  <c:v>84.87612</c:v>
                </c:pt>
                <c:pt idx="761">
                  <c:v>84.87612</c:v>
                </c:pt>
                <c:pt idx="762">
                  <c:v>84.87612</c:v>
                </c:pt>
                <c:pt idx="763">
                  <c:v>84.87612</c:v>
                </c:pt>
                <c:pt idx="764">
                  <c:v>84.87612</c:v>
                </c:pt>
                <c:pt idx="765">
                  <c:v>84.87612</c:v>
                </c:pt>
                <c:pt idx="766">
                  <c:v>84.87612</c:v>
                </c:pt>
                <c:pt idx="767">
                  <c:v>84.87612</c:v>
                </c:pt>
                <c:pt idx="768">
                  <c:v>84.87612</c:v>
                </c:pt>
                <c:pt idx="769">
                  <c:v>84.87612</c:v>
                </c:pt>
                <c:pt idx="770">
                  <c:v>84.87612</c:v>
                </c:pt>
                <c:pt idx="771">
                  <c:v>84.87612</c:v>
                </c:pt>
                <c:pt idx="772">
                  <c:v>84.87612</c:v>
                </c:pt>
                <c:pt idx="773">
                  <c:v>84.87612</c:v>
                </c:pt>
                <c:pt idx="774">
                  <c:v>84.87612</c:v>
                </c:pt>
                <c:pt idx="775">
                  <c:v>84.87612</c:v>
                </c:pt>
                <c:pt idx="776">
                  <c:v>84.87612</c:v>
                </c:pt>
                <c:pt idx="777">
                  <c:v>84.87612</c:v>
                </c:pt>
                <c:pt idx="778">
                  <c:v>84.87612</c:v>
                </c:pt>
                <c:pt idx="779">
                  <c:v>84.87612</c:v>
                </c:pt>
                <c:pt idx="780">
                  <c:v>84.87612</c:v>
                </c:pt>
                <c:pt idx="781">
                  <c:v>84.87612</c:v>
                </c:pt>
                <c:pt idx="782">
                  <c:v>84.87612</c:v>
                </c:pt>
                <c:pt idx="783">
                  <c:v>84.87612</c:v>
                </c:pt>
                <c:pt idx="784">
                  <c:v>84.87612</c:v>
                </c:pt>
                <c:pt idx="785">
                  <c:v>84.87612</c:v>
                </c:pt>
                <c:pt idx="786">
                  <c:v>84.87612</c:v>
                </c:pt>
                <c:pt idx="787">
                  <c:v>84.87612</c:v>
                </c:pt>
                <c:pt idx="788">
                  <c:v>84.87612</c:v>
                </c:pt>
                <c:pt idx="789">
                  <c:v>84.87612</c:v>
                </c:pt>
                <c:pt idx="790">
                  <c:v>84.87612</c:v>
                </c:pt>
                <c:pt idx="791">
                  <c:v>84.87612</c:v>
                </c:pt>
                <c:pt idx="792">
                  <c:v>84.87612</c:v>
                </c:pt>
                <c:pt idx="793">
                  <c:v>84.87612</c:v>
                </c:pt>
                <c:pt idx="794">
                  <c:v>84.87612</c:v>
                </c:pt>
                <c:pt idx="795">
                  <c:v>84.87612</c:v>
                </c:pt>
                <c:pt idx="796">
                  <c:v>84.87612</c:v>
                </c:pt>
                <c:pt idx="797">
                  <c:v>84.87612</c:v>
                </c:pt>
                <c:pt idx="798">
                  <c:v>84.87612</c:v>
                </c:pt>
                <c:pt idx="799">
                  <c:v>84.87612</c:v>
                </c:pt>
                <c:pt idx="800">
                  <c:v>84.87612</c:v>
                </c:pt>
                <c:pt idx="801">
                  <c:v>84.87612</c:v>
                </c:pt>
                <c:pt idx="802">
                  <c:v>84.87612</c:v>
                </c:pt>
                <c:pt idx="803">
                  <c:v>84.87612</c:v>
                </c:pt>
                <c:pt idx="804">
                  <c:v>84.87612</c:v>
                </c:pt>
                <c:pt idx="805">
                  <c:v>84.87612</c:v>
                </c:pt>
                <c:pt idx="806">
                  <c:v>84.87612</c:v>
                </c:pt>
                <c:pt idx="807">
                  <c:v>84.87612</c:v>
                </c:pt>
                <c:pt idx="808">
                  <c:v>84.87612</c:v>
                </c:pt>
                <c:pt idx="809">
                  <c:v>84.87612</c:v>
                </c:pt>
                <c:pt idx="810">
                  <c:v>84.87612</c:v>
                </c:pt>
                <c:pt idx="811">
                  <c:v>84.87612</c:v>
                </c:pt>
                <c:pt idx="812">
                  <c:v>84.87612</c:v>
                </c:pt>
                <c:pt idx="813">
                  <c:v>84.87612</c:v>
                </c:pt>
                <c:pt idx="814">
                  <c:v>84.87612</c:v>
                </c:pt>
                <c:pt idx="815">
                  <c:v>84.87612</c:v>
                </c:pt>
                <c:pt idx="816">
                  <c:v>84.87612</c:v>
                </c:pt>
                <c:pt idx="817">
                  <c:v>84.87612</c:v>
                </c:pt>
                <c:pt idx="818">
                  <c:v>84.87612</c:v>
                </c:pt>
                <c:pt idx="819">
                  <c:v>84.87612</c:v>
                </c:pt>
                <c:pt idx="820">
                  <c:v>84.87612</c:v>
                </c:pt>
                <c:pt idx="821">
                  <c:v>84.87612</c:v>
                </c:pt>
                <c:pt idx="822">
                  <c:v>84.87612</c:v>
                </c:pt>
                <c:pt idx="823">
                  <c:v>84.87612</c:v>
                </c:pt>
                <c:pt idx="824">
                  <c:v>84.87612</c:v>
                </c:pt>
                <c:pt idx="825">
                  <c:v>84.87612</c:v>
                </c:pt>
                <c:pt idx="826">
                  <c:v>84.87612</c:v>
                </c:pt>
                <c:pt idx="827">
                  <c:v>84.87612</c:v>
                </c:pt>
                <c:pt idx="828">
                  <c:v>84.87612</c:v>
                </c:pt>
                <c:pt idx="829">
                  <c:v>84.87612</c:v>
                </c:pt>
                <c:pt idx="830">
                  <c:v>84.87612</c:v>
                </c:pt>
                <c:pt idx="831">
                  <c:v>84.87612</c:v>
                </c:pt>
                <c:pt idx="832">
                  <c:v>84.87612</c:v>
                </c:pt>
                <c:pt idx="833">
                  <c:v>84.87612</c:v>
                </c:pt>
                <c:pt idx="834">
                  <c:v>84.87612</c:v>
                </c:pt>
                <c:pt idx="835">
                  <c:v>84.87612</c:v>
                </c:pt>
                <c:pt idx="836">
                  <c:v>84.87612</c:v>
                </c:pt>
                <c:pt idx="837">
                  <c:v>84.87612</c:v>
                </c:pt>
                <c:pt idx="838">
                  <c:v>84.87612</c:v>
                </c:pt>
                <c:pt idx="839">
                  <c:v>84.87612</c:v>
                </c:pt>
                <c:pt idx="840">
                  <c:v>84.87612</c:v>
                </c:pt>
                <c:pt idx="841">
                  <c:v>84.87612</c:v>
                </c:pt>
                <c:pt idx="842">
                  <c:v>84.87612</c:v>
                </c:pt>
                <c:pt idx="843">
                  <c:v>84.87612</c:v>
                </c:pt>
                <c:pt idx="844">
                  <c:v>84.87612</c:v>
                </c:pt>
                <c:pt idx="845">
                  <c:v>84.87612</c:v>
                </c:pt>
                <c:pt idx="846">
                  <c:v>84.87612</c:v>
                </c:pt>
                <c:pt idx="847">
                  <c:v>84.87612</c:v>
                </c:pt>
                <c:pt idx="848">
                  <c:v>84.87612</c:v>
                </c:pt>
                <c:pt idx="849">
                  <c:v>84.87612</c:v>
                </c:pt>
                <c:pt idx="850">
                  <c:v>84.87612</c:v>
                </c:pt>
                <c:pt idx="851">
                  <c:v>84.87612</c:v>
                </c:pt>
                <c:pt idx="852">
                  <c:v>84.87612</c:v>
                </c:pt>
                <c:pt idx="853">
                  <c:v>84.87612</c:v>
                </c:pt>
                <c:pt idx="854">
                  <c:v>84.87612</c:v>
                </c:pt>
                <c:pt idx="855">
                  <c:v>84.87612</c:v>
                </c:pt>
                <c:pt idx="856">
                  <c:v>84.87612</c:v>
                </c:pt>
                <c:pt idx="857">
                  <c:v>84.87612</c:v>
                </c:pt>
                <c:pt idx="858">
                  <c:v>84.87612</c:v>
                </c:pt>
                <c:pt idx="859">
                  <c:v>84.87612</c:v>
                </c:pt>
                <c:pt idx="860">
                  <c:v>84.87612</c:v>
                </c:pt>
                <c:pt idx="861">
                  <c:v>84.87612</c:v>
                </c:pt>
                <c:pt idx="862">
                  <c:v>84.87612</c:v>
                </c:pt>
                <c:pt idx="863">
                  <c:v>84.87612</c:v>
                </c:pt>
                <c:pt idx="864">
                  <c:v>84.87612</c:v>
                </c:pt>
                <c:pt idx="865">
                  <c:v>84.87612</c:v>
                </c:pt>
                <c:pt idx="866">
                  <c:v>84.87612</c:v>
                </c:pt>
                <c:pt idx="867">
                  <c:v>84.87612</c:v>
                </c:pt>
                <c:pt idx="868">
                  <c:v>84.87612</c:v>
                </c:pt>
                <c:pt idx="869">
                  <c:v>84.87612</c:v>
                </c:pt>
                <c:pt idx="870">
                  <c:v>84.87612</c:v>
                </c:pt>
                <c:pt idx="871">
                  <c:v>84.87612</c:v>
                </c:pt>
                <c:pt idx="872">
                  <c:v>84.87612</c:v>
                </c:pt>
                <c:pt idx="873">
                  <c:v>84.87612</c:v>
                </c:pt>
                <c:pt idx="874">
                  <c:v>84.87612</c:v>
                </c:pt>
                <c:pt idx="875">
                  <c:v>84.87612</c:v>
                </c:pt>
                <c:pt idx="876">
                  <c:v>84.87612</c:v>
                </c:pt>
                <c:pt idx="877">
                  <c:v>84.87612</c:v>
                </c:pt>
                <c:pt idx="878">
                  <c:v>84.87612</c:v>
                </c:pt>
                <c:pt idx="879">
                  <c:v>84.87612</c:v>
                </c:pt>
                <c:pt idx="880">
                  <c:v>84.87612</c:v>
                </c:pt>
                <c:pt idx="881">
                  <c:v>84.87612</c:v>
                </c:pt>
                <c:pt idx="882">
                  <c:v>84.87612</c:v>
                </c:pt>
                <c:pt idx="883">
                  <c:v>84.87612</c:v>
                </c:pt>
                <c:pt idx="884">
                  <c:v>84.87612</c:v>
                </c:pt>
                <c:pt idx="885">
                  <c:v>84.87612</c:v>
                </c:pt>
                <c:pt idx="886">
                  <c:v>84.87612</c:v>
                </c:pt>
                <c:pt idx="887">
                  <c:v>84.87612</c:v>
                </c:pt>
                <c:pt idx="888">
                  <c:v>84.87612</c:v>
                </c:pt>
                <c:pt idx="889">
                  <c:v>84.87612</c:v>
                </c:pt>
                <c:pt idx="890">
                  <c:v>84.87612</c:v>
                </c:pt>
                <c:pt idx="891">
                  <c:v>84.87612</c:v>
                </c:pt>
                <c:pt idx="892">
                  <c:v>84.87612</c:v>
                </c:pt>
                <c:pt idx="893">
                  <c:v>84.87612</c:v>
                </c:pt>
                <c:pt idx="894">
                  <c:v>84.87612</c:v>
                </c:pt>
                <c:pt idx="895">
                  <c:v>84.87612</c:v>
                </c:pt>
                <c:pt idx="896">
                  <c:v>84.87612</c:v>
                </c:pt>
                <c:pt idx="897">
                  <c:v>84.87612</c:v>
                </c:pt>
                <c:pt idx="898">
                  <c:v>84.87612</c:v>
                </c:pt>
                <c:pt idx="899">
                  <c:v>84.87612</c:v>
                </c:pt>
                <c:pt idx="900">
                  <c:v>84.87612</c:v>
                </c:pt>
                <c:pt idx="901">
                  <c:v>84.87612</c:v>
                </c:pt>
                <c:pt idx="902">
                  <c:v>84.87612</c:v>
                </c:pt>
                <c:pt idx="903">
                  <c:v>84.87612</c:v>
                </c:pt>
                <c:pt idx="904">
                  <c:v>84.87612</c:v>
                </c:pt>
                <c:pt idx="905">
                  <c:v>84.87612</c:v>
                </c:pt>
                <c:pt idx="906">
                  <c:v>84.87612</c:v>
                </c:pt>
                <c:pt idx="907">
                  <c:v>84.87612</c:v>
                </c:pt>
                <c:pt idx="908">
                  <c:v>84.87612</c:v>
                </c:pt>
                <c:pt idx="909">
                  <c:v>84.87612</c:v>
                </c:pt>
                <c:pt idx="910">
                  <c:v>84.87612</c:v>
                </c:pt>
                <c:pt idx="911">
                  <c:v>84.87612</c:v>
                </c:pt>
                <c:pt idx="912">
                  <c:v>84.87612</c:v>
                </c:pt>
                <c:pt idx="913">
                  <c:v>84.87612</c:v>
                </c:pt>
                <c:pt idx="914">
                  <c:v>84.87612</c:v>
                </c:pt>
                <c:pt idx="915">
                  <c:v>84.87612</c:v>
                </c:pt>
                <c:pt idx="916">
                  <c:v>84.87612</c:v>
                </c:pt>
                <c:pt idx="917">
                  <c:v>84.87612</c:v>
                </c:pt>
                <c:pt idx="918">
                  <c:v>84.87612</c:v>
                </c:pt>
                <c:pt idx="919">
                  <c:v>84.87612</c:v>
                </c:pt>
                <c:pt idx="920">
                  <c:v>84.87612</c:v>
                </c:pt>
                <c:pt idx="921">
                  <c:v>84.87612</c:v>
                </c:pt>
                <c:pt idx="922">
                  <c:v>84.87612</c:v>
                </c:pt>
                <c:pt idx="923">
                  <c:v>84.87612</c:v>
                </c:pt>
                <c:pt idx="924">
                  <c:v>84.87612</c:v>
                </c:pt>
                <c:pt idx="925">
                  <c:v>84.87612</c:v>
                </c:pt>
                <c:pt idx="926">
                  <c:v>84.87612</c:v>
                </c:pt>
                <c:pt idx="927">
                  <c:v>84.87612</c:v>
                </c:pt>
                <c:pt idx="928">
                  <c:v>84.87612</c:v>
                </c:pt>
                <c:pt idx="929">
                  <c:v>84.87612</c:v>
                </c:pt>
                <c:pt idx="930">
                  <c:v>84.87612</c:v>
                </c:pt>
                <c:pt idx="931">
                  <c:v>84.87612</c:v>
                </c:pt>
                <c:pt idx="932">
                  <c:v>84.87612</c:v>
                </c:pt>
                <c:pt idx="933">
                  <c:v>84.87612</c:v>
                </c:pt>
                <c:pt idx="934">
                  <c:v>84.87612</c:v>
                </c:pt>
                <c:pt idx="935">
                  <c:v>84.87612</c:v>
                </c:pt>
                <c:pt idx="936">
                  <c:v>84.87612</c:v>
                </c:pt>
                <c:pt idx="937">
                  <c:v>84.87612</c:v>
                </c:pt>
                <c:pt idx="938">
                  <c:v>84.87612</c:v>
                </c:pt>
                <c:pt idx="939">
                  <c:v>84.87612</c:v>
                </c:pt>
                <c:pt idx="940">
                  <c:v>84.87612</c:v>
                </c:pt>
                <c:pt idx="941">
                  <c:v>84.87612</c:v>
                </c:pt>
                <c:pt idx="942">
                  <c:v>84.87612</c:v>
                </c:pt>
                <c:pt idx="943">
                  <c:v>84.87612</c:v>
                </c:pt>
                <c:pt idx="944">
                  <c:v>84.87612</c:v>
                </c:pt>
                <c:pt idx="945">
                  <c:v>84.87612</c:v>
                </c:pt>
                <c:pt idx="946">
                  <c:v>84.87612</c:v>
                </c:pt>
                <c:pt idx="947">
                  <c:v>84.87612</c:v>
                </c:pt>
                <c:pt idx="948">
                  <c:v>84.87612</c:v>
                </c:pt>
                <c:pt idx="949">
                  <c:v>84.87612</c:v>
                </c:pt>
                <c:pt idx="950">
                  <c:v>84.87612</c:v>
                </c:pt>
                <c:pt idx="951">
                  <c:v>84.87612</c:v>
                </c:pt>
                <c:pt idx="952">
                  <c:v>84.87612</c:v>
                </c:pt>
                <c:pt idx="953">
                  <c:v>84.87612</c:v>
                </c:pt>
                <c:pt idx="954">
                  <c:v>84.87612</c:v>
                </c:pt>
                <c:pt idx="955">
                  <c:v>84.87612</c:v>
                </c:pt>
                <c:pt idx="956">
                  <c:v>84.87612</c:v>
                </c:pt>
                <c:pt idx="957">
                  <c:v>84.87612</c:v>
                </c:pt>
                <c:pt idx="958">
                  <c:v>84.87612</c:v>
                </c:pt>
                <c:pt idx="959">
                  <c:v>84.87612</c:v>
                </c:pt>
                <c:pt idx="960">
                  <c:v>84.87612</c:v>
                </c:pt>
                <c:pt idx="961">
                  <c:v>84.87612</c:v>
                </c:pt>
                <c:pt idx="962">
                  <c:v>84.87612</c:v>
                </c:pt>
                <c:pt idx="963">
                  <c:v>84.87612</c:v>
                </c:pt>
                <c:pt idx="964">
                  <c:v>84.87612</c:v>
                </c:pt>
                <c:pt idx="965">
                  <c:v>84.87612</c:v>
                </c:pt>
                <c:pt idx="966">
                  <c:v>84.87612</c:v>
                </c:pt>
                <c:pt idx="967">
                  <c:v>84.87612</c:v>
                </c:pt>
                <c:pt idx="968">
                  <c:v>84.87612</c:v>
                </c:pt>
                <c:pt idx="969">
                  <c:v>84.87612</c:v>
                </c:pt>
                <c:pt idx="970">
                  <c:v>84.87612</c:v>
                </c:pt>
                <c:pt idx="971">
                  <c:v>84.87612</c:v>
                </c:pt>
                <c:pt idx="972">
                  <c:v>84.87612</c:v>
                </c:pt>
                <c:pt idx="973">
                  <c:v>84.87612</c:v>
                </c:pt>
                <c:pt idx="974">
                  <c:v>84.87612</c:v>
                </c:pt>
                <c:pt idx="975">
                  <c:v>84.87612</c:v>
                </c:pt>
                <c:pt idx="976">
                  <c:v>84.87612</c:v>
                </c:pt>
                <c:pt idx="977">
                  <c:v>84.87612</c:v>
                </c:pt>
                <c:pt idx="978">
                  <c:v>84.87612</c:v>
                </c:pt>
                <c:pt idx="979">
                  <c:v>84.87612</c:v>
                </c:pt>
                <c:pt idx="980">
                  <c:v>84.87612</c:v>
                </c:pt>
                <c:pt idx="981">
                  <c:v>84.87612</c:v>
                </c:pt>
                <c:pt idx="982">
                  <c:v>84.87612</c:v>
                </c:pt>
                <c:pt idx="983">
                  <c:v>84.87612</c:v>
                </c:pt>
                <c:pt idx="984">
                  <c:v>84.87612</c:v>
                </c:pt>
                <c:pt idx="985">
                  <c:v>84.87612</c:v>
                </c:pt>
                <c:pt idx="986">
                  <c:v>84.87612</c:v>
                </c:pt>
                <c:pt idx="987">
                  <c:v>84.87612</c:v>
                </c:pt>
                <c:pt idx="988">
                  <c:v>84.87612</c:v>
                </c:pt>
                <c:pt idx="989">
                  <c:v>84.87612</c:v>
                </c:pt>
                <c:pt idx="990">
                  <c:v>84.87612</c:v>
                </c:pt>
                <c:pt idx="991">
                  <c:v>84.87612</c:v>
                </c:pt>
                <c:pt idx="992">
                  <c:v>84.87612</c:v>
                </c:pt>
                <c:pt idx="993">
                  <c:v>84.87612</c:v>
                </c:pt>
                <c:pt idx="994">
                  <c:v>84.87612</c:v>
                </c:pt>
                <c:pt idx="995">
                  <c:v>84.87612</c:v>
                </c:pt>
                <c:pt idx="996">
                  <c:v>84.87612</c:v>
                </c:pt>
                <c:pt idx="997">
                  <c:v>84.87612</c:v>
                </c:pt>
                <c:pt idx="998">
                  <c:v>84.87612</c:v>
                </c:pt>
                <c:pt idx="999">
                  <c:v>84.87612</c:v>
                </c:pt>
                <c:pt idx="1000">
                  <c:v>84.87612</c:v>
                </c:pt>
              </c:numCache>
            </c:numRef>
          </c:yVal>
          <c:smooth val="0"/>
          <c:extLst>
            <c:ext xmlns:c16="http://schemas.microsoft.com/office/drawing/2014/chart" uri="{C3380CC4-5D6E-409C-BE32-E72D297353CC}">
              <c16:uniqueId val="{00000001-9438-492B-B11B-4BE6D2E63FA2}"/>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Calculs!$W$4:$W$1004</c:f>
              <c:numCache>
                <c:formatCode>0.00</c:formatCode>
                <c:ptCount val="1001"/>
                <c:pt idx="0">
                  <c:v>0</c:v>
                </c:pt>
                <c:pt idx="1">
                  <c:v>0</c:v>
                </c:pt>
                <c:pt idx="2">
                  <c:v>8.9892921956622482E-5</c:v>
                </c:pt>
                <c:pt idx="3">
                  <c:v>8.225561753324853E-4</c:v>
                </c:pt>
                <c:pt idx="4">
                  <c:v>3.3183076056119611E-3</c:v>
                </c:pt>
                <c:pt idx="5">
                  <c:v>9.2669408609580926E-3</c:v>
                </c:pt>
                <c:pt idx="6">
                  <c:v>1.9530223760944522E-2</c:v>
                </c:pt>
                <c:pt idx="7">
                  <c:v>3.3541320541488777E-2</c:v>
                </c:pt>
                <c:pt idx="8">
                  <c:v>5.127575939301493E-2</c:v>
                </c:pt>
                <c:pt idx="9">
                  <c:v>7.2708984801384935E-2</c:v>
                </c:pt>
                <c:pt idx="10">
                  <c:v>9.7816358965332639E-2</c:v>
                </c:pt>
                <c:pt idx="11">
                  <c:v>0.12657316321788134</c:v>
                </c:pt>
                <c:pt idx="12">
                  <c:v>0.15895459945160656</c:v>
                </c:pt>
                <c:pt idx="13">
                  <c:v>0.1949357915476034</c:v>
                </c:pt>
                <c:pt idx="14">
                  <c:v>0.23449178680801794</c:v>
                </c:pt>
                <c:pt idx="15">
                  <c:v>0.27759755739200409</c:v>
                </c:pt>
                <c:pt idx="16">
                  <c:v>0.3242280017549648</c:v>
                </c:pt>
                <c:pt idx="17">
                  <c:v>0.3743579460909357</c:v>
                </c:pt>
                <c:pt idx="18">
                  <c:v>0.42796214577797426</c:v>
                </c:pt>
                <c:pt idx="19">
                  <c:v>0.48501528682640899</c:v>
                </c:pt>
                <c:pt idx="20">
                  <c:v>0.54549198732981374</c:v>
                </c:pt>
                <c:pt idx="21">
                  <c:v>0.60936679891855994</c:v>
                </c:pt>
                <c:pt idx="22">
                  <c:v>0.67661420821581109</c:v>
                </c:pt>
                <c:pt idx="23">
                  <c:v>0.74720863829581863</c:v>
                </c:pt>
                <c:pt idx="24">
                  <c:v>0.82112445014437185</c:v>
                </c:pt>
                <c:pt idx="25">
                  <c:v>0.89833594412127082</c:v>
                </c:pt>
                <c:pt idx="26">
                  <c:v>0.97881736142467657</c:v>
                </c:pt>
                <c:pt idx="27">
                  <c:v>1.0625428855571943</c:v>
                </c:pt>
                <c:pt idx="28">
                  <c:v>1.1494866437935602</c:v>
                </c:pt>
                <c:pt idx="29">
                  <c:v>1.2396227086497766</c:v>
                </c:pt>
                <c:pt idx="30">
                  <c:v>1.3329250993535684</c:v>
                </c:pt>
                <c:pt idx="31">
                  <c:v>1.429367783316021</c:v>
                </c:pt>
                <c:pt idx="32">
                  <c:v>1.5289246776042404</c:v>
                </c:pt>
                <c:pt idx="33">
                  <c:v>1.6315696504149253</c:v>
                </c:pt>
                <c:pt idx="34">
                  <c:v>1.7372765225486881</c:v>
                </c:pt>
                <c:pt idx="35">
                  <c:v>1.846019068884998</c:v>
                </c:pt>
                <c:pt idx="36">
                  <c:v>1.9577718035144267</c:v>
                </c:pt>
                <c:pt idx="37">
                  <c:v>2.0725093222144459</c:v>
                </c:pt>
                <c:pt idx="38">
                  <c:v>2.1902053745222116</c:v>
                </c:pt>
                <c:pt idx="39">
                  <c:v>2.3108336672881951</c:v>
                </c:pt>
                <c:pt idx="40">
                  <c:v>2.4343678662632406</c:v>
                </c:pt>
                <c:pt idx="41">
                  <c:v>2.5607815976834258</c:v>
                </c:pt>
                <c:pt idx="42">
                  <c:v>2.6900484498465875</c:v>
                </c:pt>
                <c:pt idx="43">
                  <c:v>2.8221419746811405</c:v>
                </c:pt>
                <c:pt idx="44">
                  <c:v>2.9570356893077547</c:v>
                </c:pt>
                <c:pt idx="45">
                  <c:v>3.0947030775943025</c:v>
                </c:pt>
                <c:pt idx="46">
                  <c:v>3.2351175917045558</c:v>
                </c:pt>
                <c:pt idx="47">
                  <c:v>3.3782526536408666</c:v>
                </c:pt>
                <c:pt idx="48">
                  <c:v>3.5240816567812097</c:v>
                </c:pt>
                <c:pt idx="49">
                  <c:v>3.6725779674107843</c:v>
                </c:pt>
                <c:pt idx="50">
                  <c:v>3.8237149262483903</c:v>
                </c:pt>
                <c:pt idx="51">
                  <c:v>3.9775690046075418</c:v>
                </c:pt>
                <c:pt idx="52">
                  <c:v>4.1342248337433327</c:v>
                </c:pt>
                <c:pt idx="53">
                  <c:v>4.2936679179472907</c:v>
                </c:pt>
                <c:pt idx="54">
                  <c:v>4.4558837006017527</c:v>
                </c:pt>
                <c:pt idx="55">
                  <c:v>4.6208575648864549</c:v>
                </c:pt>
                <c:pt idx="56">
                  <c:v>4.7885748344856873</c:v>
                </c:pt>
                <c:pt idx="57">
                  <c:v>4.9590207742961034</c:v>
                </c:pt>
                <c:pt idx="58">
                  <c:v>5.1321805911352598</c:v>
                </c:pt>
                <c:pt idx="59">
                  <c:v>5.3080394344509543</c:v>
                </c:pt>
                <c:pt idx="60">
                  <c:v>5.4865823970314045</c:v>
                </c:pt>
                <c:pt idx="61">
                  <c:v>5.6677945157163281</c:v>
                </c:pt>
                <c:pt idx="62">
                  <c:v>5.8516607721089393</c:v>
                </c:pt>
                <c:pt idx="63">
                  <c:v>6.0381660932889121</c:v>
                </c:pt>
                <c:pt idx="64">
                  <c:v>6.2272953525263102</c:v>
                </c:pt>
                <c:pt idx="65">
                  <c:v>6.419033369996539</c:v>
                </c:pt>
                <c:pt idx="66">
                  <c:v>6.613364913496266</c:v>
                </c:pt>
                <c:pt idx="67">
                  <c:v>6.8102746991603951</c:v>
                </c:pt>
                <c:pt idx="68">
                  <c:v>7.0097473921800129</c:v>
                </c:pt>
                <c:pt idx="69">
                  <c:v>7.2117676075213701</c:v>
                </c:pt>
                <c:pt idx="70">
                  <c:v>7.4163199106458917</c:v>
                </c:pt>
                <c:pt idx="71">
                  <c:v>7.6233888182311027</c:v>
                </c:pt>
                <c:pt idx="72">
                  <c:v>7.8329587988926237</c:v>
                </c:pt>
                <c:pt idx="73">
                  <c:v>8.0450142739070731</c:v>
                </c:pt>
                <c:pt idx="74">
                  <c:v>8.2595396179359124</c:v>
                </c:pt>
                <c:pt idx="75">
                  <c:v>8.4765191597502589</c:v>
                </c:pt>
                <c:pt idx="76">
                  <c:v>8.6959371829565573</c:v>
                </c:pt>
                <c:pt idx="77">
                  <c:v>8.9177779267231259</c:v>
                </c:pt>
                <c:pt idx="78">
                  <c:v>9.1420255865075557</c:v>
                </c:pt>
                <c:pt idx="79">
                  <c:v>9.3686643147849438</c:v>
                </c:pt>
                <c:pt idx="80">
                  <c:v>9.597678221776853</c:v>
                </c:pt>
                <c:pt idx="81">
                  <c:v>9.8290513761811003</c:v>
                </c:pt>
                <c:pt idx="82">
                  <c:v>10.06276780590218</c:v>
                </c:pt>
                <c:pt idx="83">
                  <c:v>10.298811498782412</c:v>
                </c:pt>
                <c:pt idx="84">
                  <c:v>10.537166403333728</c:v>
                </c:pt>
                <c:pt idx="85">
                  <c:v>10.777816429470077</c:v>
                </c:pt>
                <c:pt idx="86">
                  <c:v>11.020745449240335</c:v>
                </c:pt>
                <c:pt idx="87">
                  <c:v>11.265937297561793</c:v>
                </c:pt>
                <c:pt idx="88">
                  <c:v>11.513375772954152</c:v>
                </c:pt>
                <c:pt idx="89">
                  <c:v>11.763044638273866</c:v>
                </c:pt>
                <c:pt idx="90">
                  <c:v>12.014927621448994</c:v>
                </c:pt>
                <c:pt idx="91">
                  <c:v>12.269008416214316</c:v>
                </c:pt>
                <c:pt idx="92">
                  <c:v>12.525270682846838</c:v>
                </c:pt>
                <c:pt idx="93">
                  <c:v>12.783698048901496</c:v>
                </c:pt>
                <c:pt idx="94">
                  <c:v>13.044274109947132</c:v>
                </c:pt>
                <c:pt idx="95">
                  <c:v>13.306982430302638</c:v>
                </c:pt>
                <c:pt idx="96">
                  <c:v>13.571806543773205</c:v>
                </c:pt>
                <c:pt idx="97">
                  <c:v>13.838729954386681</c:v>
                </c:pt>
                <c:pt idx="98">
                  <c:v>14.107736137129985</c:v>
                </c:pt>
                <c:pt idx="99">
                  <c:v>14.378808538685455</c:v>
                </c:pt>
                <c:pt idx="100">
                  <c:v>14.651930578167203</c:v>
                </c:pt>
                <c:pt idx="101">
                  <c:v>14.926993768578619</c:v>
                </c:pt>
                <c:pt idx="102">
                  <c:v>15.203886112737917</c:v>
                </c:pt>
                <c:pt idx="103">
                  <c:v>15.482585764190748</c:v>
                </c:pt>
                <c:pt idx="104">
                  <c:v>15.76307087499247</c:v>
                </c:pt>
                <c:pt idx="105">
                  <c:v>16.045319596731279</c:v>
                </c:pt>
                <c:pt idx="106">
                  <c:v>16.329310081548371</c:v>
                </c:pt>
                <c:pt idx="107">
                  <c:v>16.615020483155185</c:v>
                </c:pt>
                <c:pt idx="108">
                  <c:v>16.902428957847683</c:v>
                </c:pt>
                <c:pt idx="109">
                  <c:v>17.191513665517494</c:v>
                </c:pt>
                <c:pt idx="110">
                  <c:v>17.482252770659894</c:v>
                </c:pt>
                <c:pt idx="111">
                  <c:v>17.774624443378666</c:v>
                </c:pt>
                <c:pt idx="112">
                  <c:v>18.068606860387593</c:v>
                </c:pt>
                <c:pt idx="113">
                  <c:v>18.364178206008571</c:v>
                </c:pt>
                <c:pt idx="114">
                  <c:v>18.661316673166429</c:v>
                </c:pt>
                <c:pt idx="115">
                  <c:v>18.960000464380112</c:v>
                </c:pt>
                <c:pt idx="116">
                  <c:v>19.26020779275046</c:v>
                </c:pt>
                <c:pt idx="117">
                  <c:v>19.561916882944246</c:v>
                </c:pt>
                <c:pt idx="118">
                  <c:v>19.865105972174618</c:v>
                </c:pt>
                <c:pt idx="119">
                  <c:v>20.169753311177754</c:v>
                </c:pt>
                <c:pt idx="120">
                  <c:v>20.475837165185688</c:v>
                </c:pt>
                <c:pt idx="121">
                  <c:v>20.783335814895338</c:v>
                </c:pt>
                <c:pt idx="122">
                  <c:v>21.092227557433517</c:v>
                </c:pt>
                <c:pt idx="123">
                  <c:v>21.402490707317963</c:v>
                </c:pt>
                <c:pt idx="124">
                  <c:v>21.714103597414368</c:v>
                </c:pt>
                <c:pt idx="125">
                  <c:v>22.027044579889171</c:v>
                </c:pt>
                <c:pt idx="126">
                  <c:v>22.341292027158278</c:v>
                </c:pt>
                <c:pt idx="127">
                  <c:v>22.656824332831462</c:v>
                </c:pt>
                <c:pt idx="128">
                  <c:v>22.973619912652513</c:v>
                </c:pt>
                <c:pt idx="129">
                  <c:v>23.291657205434962</c:v>
                </c:pt>
                <c:pt idx="130">
                  <c:v>23.610914673993427</c:v>
                </c:pt>
                <c:pt idx="131">
                  <c:v>23.931370806070525</c:v>
                </c:pt>
                <c:pt idx="132">
                  <c:v>24.253004115259085</c:v>
                </c:pt>
                <c:pt idx="133">
                  <c:v>24.575793141919981</c:v>
                </c:pt>
                <c:pt idx="134">
                  <c:v>24.89971645409511</c:v>
                </c:pt>
                <c:pt idx="135">
                  <c:v>25.224752648415862</c:v>
                </c:pt>
                <c:pt idx="136">
                  <c:v>25.550880351006651</c:v>
                </c:pt>
                <c:pt idx="137">
                  <c:v>25.878078218383745</c:v>
                </c:pt>
                <c:pt idx="138">
                  <c:v>26.206324938349187</c:v>
                </c:pt>
                <c:pt idx="139">
                  <c:v>26.535599230879793</c:v>
                </c:pt>
                <c:pt idx="140">
                  <c:v>26.865879849011247</c:v>
                </c:pt>
                <c:pt idx="141">
                  <c:v>27.197145579717024</c:v>
                </c:pt>
                <c:pt idx="142">
                  <c:v>27.529375244782386</c:v>
                </c:pt>
                <c:pt idx="143">
                  <c:v>27.862547701673229</c:v>
                </c:pt>
                <c:pt idx="144">
                  <c:v>28.19664184439964</c:v>
                </c:pt>
                <c:pt idx="145">
                  <c:v>28.531636604374427</c:v>
                </c:pt>
                <c:pt idx="146">
                  <c:v>28.867510951266194</c:v>
                </c:pt>
                <c:pt idx="147">
                  <c:v>29.204243893847213</c:v>
                </c:pt>
                <c:pt idx="148">
                  <c:v>29.541814480835907</c:v>
                </c:pt>
                <c:pt idx="149">
                  <c:v>29.88020180173395</c:v>
                </c:pt>
                <c:pt idx="150">
                  <c:v>30.219384987657861</c:v>
                </c:pt>
                <c:pt idx="151">
                  <c:v>30.559387774329011</c:v>
                </c:pt>
                <c:pt idx="152">
                  <c:v>30.900234955677622</c:v>
                </c:pt>
                <c:pt idx="153">
                  <c:v>31.241907291380233</c:v>
                </c:pt>
                <c:pt idx="154">
                  <c:v>31.584385575108477</c:v>
                </c:pt>
                <c:pt idx="155">
                  <c:v>31.927650635266378</c:v>
                </c:pt>
                <c:pt idx="156">
                  <c:v>32.271683335722962</c:v>
                </c:pt>
                <c:pt idx="157">
                  <c:v>32.616464576540061</c:v>
                </c:pt>
                <c:pt idx="158">
                  <c:v>32.961975294695726</c:v>
                </c:pt>
                <c:pt idx="159">
                  <c:v>33.308196464802755</c:v>
                </c:pt>
                <c:pt idx="160">
                  <c:v>33.655109099822376</c:v>
                </c:pt>
                <c:pt idx="161">
                  <c:v>34.002694251773384</c:v>
                </c:pt>
                <c:pt idx="162">
                  <c:v>34.350933012436244</c:v>
                </c:pt>
                <c:pt idx="163">
                  <c:v>34.699806514052447</c:v>
                </c:pt>
                <c:pt idx="164">
                  <c:v>35.049295930018928</c:v>
                </c:pt>
                <c:pt idx="165">
                  <c:v>35.399382475577575</c:v>
                </c:pt>
                <c:pt idx="166">
                  <c:v>35.75004740849981</c:v>
                </c:pt>
                <c:pt idx="167">
                  <c:v>36.101272029766108</c:v>
                </c:pt>
                <c:pt idx="168">
                  <c:v>36.453037684240591</c:v>
                </c:pt>
                <c:pt idx="169">
                  <c:v>36.805325761340519</c:v>
                </c:pt>
                <c:pt idx="170">
                  <c:v>37.15811769570071</c:v>
                </c:pt>
                <c:pt idx="171">
                  <c:v>37.511394967832828</c:v>
                </c:pt>
                <c:pt idx="172">
                  <c:v>37.865139104779601</c:v>
                </c:pt>
                <c:pt idx="173">
                  <c:v>38.219331680763879</c:v>
                </c:pt>
                <c:pt idx="174">
                  <c:v>38.573954317832325</c:v>
                </c:pt>
                <c:pt idx="175">
                  <c:v>38.928988686494222</c:v>
                </c:pt>
                <c:pt idx="176">
                  <c:v>39.284416506354752</c:v>
                </c:pt>
                <c:pt idx="177">
                  <c:v>39.640219546743026</c:v>
                </c:pt>
                <c:pt idx="178">
                  <c:v>39.99637962733506</c:v>
                </c:pt>
                <c:pt idx="179">
                  <c:v>40.352878618771229</c:v>
                </c:pt>
                <c:pt idx="180">
                  <c:v>40.709698443268358</c:v>
                </c:pt>
                <c:pt idx="181">
                  <c:v>41.066821075226621</c:v>
                </c:pt>
                <c:pt idx="182">
                  <c:v>41.424228541830963</c:v>
                </c:pt>
                <c:pt idx="183">
                  <c:v>41.781902923647102</c:v>
                </c:pt>
                <c:pt idx="184">
                  <c:v>42.139826355212122</c:v>
                </c:pt>
                <c:pt idx="185">
                  <c:v>42.497981025619715</c:v>
                </c:pt>
                <c:pt idx="186">
                  <c:v>42.856349179099766</c:v>
                </c:pt>
                <c:pt idx="187">
                  <c:v>43.214913115592694</c:v>
                </c:pt>
                <c:pt idx="188">
                  <c:v>43.573655191318124</c:v>
                </c:pt>
                <c:pt idx="189">
                  <c:v>43.932557819338044</c:v>
                </c:pt>
                <c:pt idx="190">
                  <c:v>44.291603470114602</c:v>
                </c:pt>
                <c:pt idx="191">
                  <c:v>44.650774672062163</c:v>
                </c:pt>
                <c:pt idx="192">
                  <c:v>45.010054012093889</c:v>
                </c:pt>
                <c:pt idx="193">
                  <c:v>45.369424136162777</c:v>
                </c:pt>
                <c:pt idx="194">
                  <c:v>45.728867749797033</c:v>
                </c:pt>
                <c:pt idx="195">
                  <c:v>46.088367618629718</c:v>
                </c:pt>
                <c:pt idx="196">
                  <c:v>46.447906568923351</c:v>
                </c:pt>
                <c:pt idx="197">
                  <c:v>46.807467488087923</c:v>
                </c:pt>
                <c:pt idx="198">
                  <c:v>47.167033325194268</c:v>
                </c:pt>
                <c:pt idx="199">
                  <c:v>47.526587091481026</c:v>
                </c:pt>
                <c:pt idx="200">
                  <c:v>47.886111860856374</c:v>
                </c:pt>
                <c:pt idx="201">
                  <c:v>48.245590770393925</c:v>
                </c:pt>
                <c:pt idx="202">
                  <c:v>48.605007020823003</c:v>
                </c:pt>
                <c:pt idx="203">
                  <c:v>48.964343877013143</c:v>
                </c:pt>
                <c:pt idx="204">
                  <c:v>49.323584668453016</c:v>
                </c:pt>
                <c:pt idx="205">
                  <c:v>49.68271278972356</c:v>
                </c:pt>
                <c:pt idx="206">
                  <c:v>50.041711700965365</c:v>
                </c:pt>
                <c:pt idx="207">
                  <c:v>50.400564928340515</c:v>
                </c:pt>
                <c:pt idx="208">
                  <c:v>50.759256064488596</c:v>
                </c:pt>
                <c:pt idx="209">
                  <c:v>51.117768768976831</c:v>
                </c:pt>
                <c:pt idx="210">
                  <c:v>51.476086768744814</c:v>
                </c:pt>
                <c:pt idx="211">
                  <c:v>51.834193858543181</c:v>
                </c:pt>
                <c:pt idx="212">
                  <c:v>52.192073901366868</c:v>
                </c:pt>
                <c:pt idx="213">
                  <c:v>52.549710828882262</c:v>
                </c:pt>
                <c:pt idx="214">
                  <c:v>52.907088641848908</c:v>
                </c:pt>
                <c:pt idx="215">
                  <c:v>53.264191410535432</c:v>
                </c:pt>
                <c:pt idx="216">
                  <c:v>53.621003275129496</c:v>
                </c:pt>
                <c:pt idx="217">
                  <c:v>53.977508446142281</c:v>
                </c:pt>
                <c:pt idx="218">
                  <c:v>54.333691204807046</c:v>
                </c:pt>
                <c:pt idx="219">
                  <c:v>54.689535903472205</c:v>
                </c:pt>
                <c:pt idx="220">
                  <c:v>55.045026965988235</c:v>
                </c:pt>
                <c:pt idx="221">
                  <c:v>55.400148888089205</c:v>
                </c:pt>
                <c:pt idx="222">
                  <c:v>55.754886237768481</c:v>
                </c:pt>
                <c:pt idx="223">
                  <c:v>56.109223655648634</c:v>
                </c:pt>
                <c:pt idx="224">
                  <c:v>56.463145855345651</c:v>
                </c:pt>
                <c:pt idx="225">
                  <c:v>56.816637623827447</c:v>
                </c:pt>
                <c:pt idx="226">
                  <c:v>57.169683821766569</c:v>
                </c:pt>
                <c:pt idx="227">
                  <c:v>57.522269383887462</c:v>
                </c:pt>
                <c:pt idx="228">
                  <c:v>57.874379319307721</c:v>
                </c:pt>
                <c:pt idx="229">
                  <c:v>58.225998711873515</c:v>
                </c:pt>
                <c:pt idx="230">
                  <c:v>58.5771127204899</c:v>
                </c:pt>
                <c:pt idx="231">
                  <c:v>58.927706579445022</c:v>
                </c:pt>
                <c:pt idx="232">
                  <c:v>59.277765598728521</c:v>
                </c:pt>
                <c:pt idx="233">
                  <c:v>59.627275164344653</c:v>
                </c:pt>
                <c:pt idx="234">
                  <c:v>59.976220738619531</c:v>
                </c:pt>
                <c:pt idx="235">
                  <c:v>60.324587860502611</c:v>
                </c:pt>
                <c:pt idx="236">
                  <c:v>60.672362145862913</c:v>
                </c:pt>
                <c:pt idx="237">
                  <c:v>61.019529287779108</c:v>
                </c:pt>
                <c:pt idx="238">
                  <c:v>61.36607505682445</c:v>
                </c:pt>
                <c:pt idx="239">
                  <c:v>61.711985301345869</c:v>
                </c:pt>
                <c:pt idx="240">
                  <c:v>62.057245947737364</c:v>
                </c:pt>
                <c:pt idx="241">
                  <c:v>62.401843000707998</c:v>
                </c:pt>
                <c:pt idx="242">
                  <c:v>62.74576254354448</c:v>
                </c:pt>
                <c:pt idx="243">
                  <c:v>63.08899073836762</c:v>
                </c:pt>
                <c:pt idx="244">
                  <c:v>63.431513826383984</c:v>
                </c:pt>
                <c:pt idx="245">
                  <c:v>63.773318128131315</c:v>
                </c:pt>
                <c:pt idx="246">
                  <c:v>64.11439004371897</c:v>
                </c:pt>
                <c:pt idx="247">
                  <c:v>64.454716053062626</c:v>
                </c:pt>
                <c:pt idx="248">
                  <c:v>64.794282716113401</c:v>
                </c:pt>
                <c:pt idx="249">
                  <c:v>65.133076673081831</c:v>
                </c:pt>
                <c:pt idx="250">
                  <c:v>65.471084644656017</c:v>
                </c:pt>
                <c:pt idx="251">
                  <c:v>65.808014106448937</c:v>
                </c:pt>
                <c:pt idx="252">
                  <c:v>66.143569827457625</c:v>
                </c:pt>
                <c:pt idx="253">
                  <c:v>66.477734784277487</c:v>
                </c:pt>
                <c:pt idx="254">
                  <c:v>66.810492095572357</c:v>
                </c:pt>
                <c:pt idx="255">
                  <c:v>67.141825022270254</c:v>
                </c:pt>
                <c:pt idx="256">
                  <c:v>67.471716967749373</c:v>
                </c:pt>
                <c:pt idx="257">
                  <c:v>67.800151478014357</c:v>
                </c:pt>
                <c:pt idx="258">
                  <c:v>68.127112241862605</c:v>
                </c:pt>
                <c:pt idx="259">
                  <c:v>68.452583091040864</c:v>
                </c:pt>
                <c:pt idx="260">
                  <c:v>68.776548000391983</c:v>
                </c:pt>
                <c:pt idx="261">
                  <c:v>69.098991087992587</c:v>
                </c:pt>
                <c:pt idx="262">
                  <c:v>69.419896615280265</c:v>
                </c:pt>
                <c:pt idx="263">
                  <c:v>69.739248987172132</c:v>
                </c:pt>
                <c:pt idx="264">
                  <c:v>70.057032752173342</c:v>
                </c:pt>
                <c:pt idx="265">
                  <c:v>70.373232602476449</c:v>
                </c:pt>
                <c:pt idx="266">
                  <c:v>70.687833374051351</c:v>
                </c:pt>
                <c:pt idx="267">
                  <c:v>71.000820046726034</c:v>
                </c:pt>
                <c:pt idx="268">
                  <c:v>71.312177744257895</c:v>
                </c:pt>
                <c:pt idx="269">
                  <c:v>71.621891734396399</c:v>
                </c:pt>
                <c:pt idx="270">
                  <c:v>71.929947428935776</c:v>
                </c:pt>
                <c:pt idx="271">
                  <c:v>72.236330383759636</c:v>
                </c:pt>
                <c:pt idx="272">
                  <c:v>72.541026298876076</c:v>
                </c:pt>
                <c:pt idx="273">
                  <c:v>72.844021018443939</c:v>
                </c:pt>
                <c:pt idx="274">
                  <c:v>73.145300530790337</c:v>
                </c:pt>
                <c:pt idx="275">
                  <c:v>73.444850968419303</c:v>
                </c:pt>
                <c:pt idx="276">
                  <c:v>73.742658608011922</c:v>
                </c:pt>
                <c:pt idx="277">
                  <c:v>74.038709870417605</c:v>
                </c:pt>
                <c:pt idx="278">
                  <c:v>74.33299132063685</c:v>
                </c:pt>
                <c:pt idx="279">
                  <c:v>74.625489667795719</c:v>
                </c:pt>
                <c:pt idx="280">
                  <c:v>74.916191765111364</c:v>
                </c:pt>
                <c:pt idx="281">
                  <c:v>75.205084609849777</c:v>
                </c:pt>
                <c:pt idx="282">
                  <c:v>75.492155343274888</c:v>
                </c:pt>
                <c:pt idx="283">
                  <c:v>75.777391250589417</c:v>
                </c:pt>
                <c:pt idx="284">
                  <c:v>76.060779760867803</c:v>
                </c:pt>
                <c:pt idx="285">
                  <c:v>76.342308446980738</c:v>
                </c:pt>
                <c:pt idx="286">
                  <c:v>76.621965025511983</c:v>
                </c:pt>
                <c:pt idx="287">
                  <c:v>76.89973735666689</c:v>
                </c:pt>
                <c:pt idx="288">
                  <c:v>77.175613444173464</c:v>
                </c:pt>
                <c:pt idx="289">
                  <c:v>77.449581435175006</c:v>
                </c:pt>
                <c:pt idx="290">
                  <c:v>77.721629620115792</c:v>
                </c:pt>
                <c:pt idx="291">
                  <c:v>77.991746432618413</c:v>
                </c:pt>
                <c:pt idx="292">
                  <c:v>78.259920449353842</c:v>
                </c:pt>
                <c:pt idx="293">
                  <c:v>78.526140389903858</c:v>
                </c:pt>
                <c:pt idx="294">
                  <c:v>78.790395116616168</c:v>
                </c:pt>
                <c:pt idx="295">
                  <c:v>79.052673634451878</c:v>
                </c:pt>
                <c:pt idx="296">
                  <c:v>79.312965090826026</c:v>
                </c:pt>
                <c:pt idx="297">
                  <c:v>79.571258775440526</c:v>
                </c:pt>
                <c:pt idx="298">
                  <c:v>79.824185497471035</c:v>
                </c:pt>
                <c:pt idx="299">
                  <c:v>80.068357259315476</c:v>
                </c:pt>
                <c:pt idx="300">
                  <c:v>80.303738588510939</c:v>
                </c:pt>
                <c:pt idx="301">
                  <c:v>80.530295801436878</c:v>
                </c:pt>
                <c:pt idx="302">
                  <c:v>80.747996998468082</c:v>
                </c:pt>
                <c:pt idx="303">
                  <c:v>80.956812058952821</c:v>
                </c:pt>
                <c:pt idx="304">
                  <c:v>81.156712636019819</c:v>
                </c:pt>
                <c:pt idx="305">
                  <c:v>81.347672151217438</c:v>
                </c:pt>
                <c:pt idx="306">
                  <c:v>81.529665788988851</c:v>
                </c:pt>
                <c:pt idx="307">
                  <c:v>81.702670490985938</c:v>
                </c:pt>
                <c:pt idx="308">
                  <c:v>81.866664950226394</c:v>
                </c:pt>
                <c:pt idx="309">
                  <c:v>82.021629605096763</c:v>
                </c:pt>
                <c:pt idx="310">
                  <c:v>82.167546633205404</c:v>
                </c:pt>
                <c:pt idx="311">
                  <c:v>82.304399945088264</c:v>
                </c:pt>
                <c:pt idx="312">
                  <c:v>82.432175177771725</c:v>
                </c:pt>
                <c:pt idx="313">
                  <c:v>82.550859688195473</c:v>
                </c:pt>
                <c:pt idx="314">
                  <c:v>82.660442546498786</c:v>
                </c:pt>
                <c:pt idx="315">
                  <c:v>82.760914529174585</c:v>
                </c:pt>
                <c:pt idx="316">
                  <c:v>82.852268112093199</c:v>
                </c:pt>
                <c:pt idx="317">
                  <c:v>82.934497463400973</c:v>
                </c:pt>
                <c:pt idx="318">
                  <c:v>83.007598436296036</c:v>
                </c:pt>
                <c:pt idx="319">
                  <c:v>83.071568561684956</c:v>
                </c:pt>
                <c:pt idx="320">
                  <c:v>83.126407040724132</c:v>
                </c:pt>
                <c:pt idx="321">
                  <c:v>83.173474685821901</c:v>
                </c:pt>
                <c:pt idx="322">
                  <c:v>83.214133755408014</c:v>
                </c:pt>
                <c:pt idx="323">
                  <c:v>83.248386649241652</c:v>
                </c:pt>
                <c:pt idx="324">
                  <c:v>83.276236578609854</c:v>
                </c:pt>
                <c:pt idx="325">
                  <c:v>83.297687562430042</c:v>
                </c:pt>
                <c:pt idx="326">
                  <c:v>83.312744423321973</c:v>
                </c:pt>
                <c:pt idx="327">
                  <c:v>83.321412783648313</c:v>
                </c:pt>
                <c:pt idx="328">
                  <c:v>83.323699061527691</c:v>
                </c:pt>
                <c:pt idx="329">
                  <c:v>83.319610466818602</c:v>
                </c:pt>
                <c:pt idx="330">
                  <c:v>83.309154997077243</c:v>
                </c:pt>
                <c:pt idx="331">
                  <c:v>83.292341433489938</c:v>
                </c:pt>
                <c:pt idx="332">
                  <c:v>83.269179336780411</c:v>
                </c:pt>
                <c:pt idx="333">
                  <c:v>83.239679043094597</c:v>
                </c:pt>
                <c:pt idx="334">
                  <c:v>83.20385165986221</c:v>
                </c:pt>
                <c:pt idx="335">
                  <c:v>83.161709061638234</c:v>
                </c:pt>
                <c:pt idx="336">
                  <c:v>83.113263885923573</c:v>
                </c:pt>
                <c:pt idx="337">
                  <c:v>83.058529528966915</c:v>
                </c:pt>
                <c:pt idx="338">
                  <c:v>82.997520141549003</c:v>
                </c:pt>
                <c:pt idx="339">
                  <c:v>82.930250624749803</c:v>
                </c:pt>
                <c:pt idx="340">
                  <c:v>82.856736625699881</c:v>
                </c:pt>
                <c:pt idx="341">
                  <c:v>82.776994533317321</c:v>
                </c:pt>
                <c:pt idx="342">
                  <c:v>82.691041474030584</c:v>
                </c:pt>
                <c:pt idx="343">
                  <c:v>82.598895307489045</c:v>
                </c:pt>
                <c:pt idx="344">
                  <c:v>82.500574622261865</c:v>
                </c:pt>
                <c:pt idx="345">
                  <c:v>82.396098731525896</c:v>
                </c:pt>
                <c:pt idx="346">
                  <c:v>82.28548766874448</c:v>
                </c:pt>
                <c:pt idx="347">
                  <c:v>82.168762183337421</c:v>
                </c:pt>
                <c:pt idx="348">
                  <c:v>82.046089015976492</c:v>
                </c:pt>
                <c:pt idx="349">
                  <c:v>81.917634951294644</c:v>
                </c:pt>
                <c:pt idx="350">
                  <c:v>81.783421727180894</c:v>
                </c:pt>
                <c:pt idx="351">
                  <c:v>81.643471713593229</c:v>
                </c:pt>
                <c:pt idx="352">
                  <c:v>81.497807908614092</c:v>
                </c:pt>
                <c:pt idx="353">
                  <c:v>81.346453934504666</c:v>
                </c:pt>
                <c:pt idx="354">
                  <c:v>81.189434033758928</c:v>
                </c:pt>
                <c:pt idx="355">
                  <c:v>81.026773065157784</c:v>
                </c:pt>
                <c:pt idx="356">
                  <c:v>80.858496499824696</c:v>
                </c:pt>
                <c:pt idx="357">
                  <c:v>80.68463041728296</c:v>
                </c:pt>
                <c:pt idx="358">
                  <c:v>80.50520150151587</c:v>
                </c:pt>
                <c:pt idx="359">
                  <c:v>80.320237037030267</c:v>
                </c:pt>
                <c:pt idx="360">
                  <c:v>80.132747703356515</c:v>
                </c:pt>
                <c:pt idx="361">
                  <c:v>79.945725892047761</c:v>
                </c:pt>
                <c:pt idx="362">
                  <c:v>79.759170115406903</c:v>
                </c:pt>
                <c:pt idx="363">
                  <c:v>79.573078891805665</c:v>
                </c:pt>
                <c:pt idx="364">
                  <c:v>79.387450745655286</c:v>
                </c:pt>
                <c:pt idx="365">
                  <c:v>79.202284207376692</c:v>
                </c:pt>
                <c:pt idx="366">
                  <c:v>79.017577813371247</c:v>
                </c:pt>
                <c:pt idx="367">
                  <c:v>78.833330105991578</c:v>
                </c:pt>
                <c:pt idx="368">
                  <c:v>78.649539633512475</c:v>
                </c:pt>
                <c:pt idx="369">
                  <c:v>78.466204950102139</c:v>
                </c:pt>
                <c:pt idx="370">
                  <c:v>78.283324615793219</c:v>
                </c:pt>
                <c:pt idx="371">
                  <c:v>78.100897196454682</c:v>
                </c:pt>
                <c:pt idx="372">
                  <c:v>77.918921263763124</c:v>
                </c:pt>
                <c:pt idx="373">
                  <c:v>77.737395395174659</c:v>
                </c:pt>
                <c:pt idx="374">
                  <c:v>77.556318173896884</c:v>
                </c:pt>
                <c:pt idx="375">
                  <c:v>77.375688188860963</c:v>
                </c:pt>
                <c:pt idx="376">
                  <c:v>77.195504034693897</c:v>
                </c:pt>
                <c:pt idx="377">
                  <c:v>77.015764311690916</c:v>
                </c:pt>
                <c:pt idx="378">
                  <c:v>76.836467625788245</c:v>
                </c:pt>
                <c:pt idx="379">
                  <c:v>76.657612588535557</c:v>
                </c:pt>
                <c:pt idx="380">
                  <c:v>76.479197817069021</c:v>
                </c:pt>
                <c:pt idx="381">
                  <c:v>76.30122193408441</c:v>
                </c:pt>
                <c:pt idx="382">
                  <c:v>76.123683567810161</c:v>
                </c:pt>
                <c:pt idx="383">
                  <c:v>75.946581351980768</c:v>
                </c:pt>
                <c:pt idx="384">
                  <c:v>75.769913925810386</c:v>
                </c:pt>
                <c:pt idx="385">
                  <c:v>75.5936799339663</c:v>
                </c:pt>
                <c:pt idx="386">
                  <c:v>75.417878026542894</c:v>
                </c:pt>
                <c:pt idx="387">
                  <c:v>75.242506859035416</c:v>
                </c:pt>
                <c:pt idx="388">
                  <c:v>75.067565092314311</c:v>
                </c:pt>
                <c:pt idx="389">
                  <c:v>74.893051392599233</c:v>
                </c:pt>
                <c:pt idx="390">
                  <c:v>74.718964431433548</c:v>
                </c:pt>
                <c:pt idx="391">
                  <c:v>74.545302885658799</c:v>
                </c:pt>
                <c:pt idx="392">
                  <c:v>74.372065437389423</c:v>
                </c:pt>
                <c:pt idx="393">
                  <c:v>74.199250773987544</c:v>
                </c:pt>
                <c:pt idx="394">
                  <c:v>74.026857588037998</c:v>
                </c:pt>
                <c:pt idx="395">
                  <c:v>73.854884577323247</c:v>
                </c:pt>
                <c:pt idx="396">
                  <c:v>73.68333044479877</c:v>
                </c:pt>
                <c:pt idx="397">
                  <c:v>73.512193898568412</c:v>
                </c:pt>
                <c:pt idx="398">
                  <c:v>73.341473651859857</c:v>
                </c:pt>
                <c:pt idx="399">
                  <c:v>73.171168423000225</c:v>
                </c:pt>
                <c:pt idx="400">
                  <c:v>73.001276935391942</c:v>
                </c:pt>
                <c:pt idx="401">
                  <c:v>71.317235279294565</c:v>
                </c:pt>
                <c:pt idx="402">
                  <c:v>69.67364960957498</c:v>
                </c:pt>
                <c:pt idx="403">
                  <c:v>68.069299794155995</c:v>
                </c:pt>
                <c:pt idx="404">
                  <c:v>66.503012806877919</c:v>
                </c:pt>
                <c:pt idx="405">
                  <c:v>64.97366056282273</c:v>
                </c:pt>
                <c:pt idx="406">
                  <c:v>63.480157869611432</c:v>
                </c:pt>
                <c:pt idx="407">
                  <c:v>62.021460487609694</c:v>
                </c:pt>
                <c:pt idx="408">
                  <c:v>60.596563292456629</c:v>
                </c:pt>
                <c:pt idx="409">
                  <c:v>59.204498533778185</c:v>
                </c:pt>
                <c:pt idx="410">
                  <c:v>57.844334184358871</c:v>
                </c:pt>
                <c:pt idx="411">
                  <c:v>56.515172374428509</c:v>
                </c:pt>
                <c:pt idx="412">
                  <c:v>55.216147906071953</c:v>
                </c:pt>
                <c:pt idx="413">
                  <c:v>53.946426843100127</c:v>
                </c:pt>
                <c:pt idx="414">
                  <c:v>52.705205172023156</c:v>
                </c:pt>
                <c:pt idx="415">
                  <c:v>51.491707530048679</c:v>
                </c:pt>
                <c:pt idx="416">
                  <c:v>50.305185996291229</c:v>
                </c:pt>
                <c:pt idx="417">
                  <c:v>49.144918942620507</c:v>
                </c:pt>
                <c:pt idx="418">
                  <c:v>48.010209940803414</c:v>
                </c:pt>
                <c:pt idx="419">
                  <c:v>46.900386722805472</c:v>
                </c:pt>
                <c:pt idx="420">
                  <c:v>45.814800191311186</c:v>
                </c:pt>
                <c:pt idx="421">
                  <c:v>44.752823477707373</c:v>
                </c:pt>
                <c:pt idx="422">
                  <c:v>43.713851044941464</c:v>
                </c:pt>
                <c:pt idx="423">
                  <c:v>42.697297832825399</c:v>
                </c:pt>
                <c:pt idx="424">
                  <c:v>41.702598443504016</c:v>
                </c:pt>
                <c:pt idx="425">
                  <c:v>40.729206364943046</c:v>
                </c:pt>
                <c:pt idx="426">
                  <c:v>39.776593230421277</c:v>
                </c:pt>
                <c:pt idx="427">
                  <c:v>38.844248112130785</c:v>
                </c:pt>
                <c:pt idx="428">
                  <c:v>37.931676847101436</c:v>
                </c:pt>
                <c:pt idx="429">
                  <c:v>37.038401393770442</c:v>
                </c:pt>
                <c:pt idx="430">
                  <c:v>36.163959217615478</c:v>
                </c:pt>
                <c:pt idx="431">
                  <c:v>35.307902704361766</c:v>
                </c:pt>
                <c:pt idx="432">
                  <c:v>34.469798599359031</c:v>
                </c:pt>
                <c:pt idx="433">
                  <c:v>33.649227471804522</c:v>
                </c:pt>
                <c:pt idx="434">
                  <c:v>32.845783202563553</c:v>
                </c:pt>
                <c:pt idx="435">
                  <c:v>32.059072494409413</c:v>
                </c:pt>
                <c:pt idx="436">
                  <c:v>31.288714403570456</c:v>
                </c:pt>
                <c:pt idx="437">
                  <c:v>30.534339891534483</c:v>
                </c:pt>
                <c:pt idx="438">
                  <c:v>29.795591396118301</c:v>
                </c:pt>
                <c:pt idx="439">
                  <c:v>29.072122420865036</c:v>
                </c:pt>
                <c:pt idx="440">
                  <c:v>28.363597141883186</c:v>
                </c:pt>
                <c:pt idx="441">
                  <c:v>27.669690031289445</c:v>
                </c:pt>
                <c:pt idx="442">
                  <c:v>26.990085496462392</c:v>
                </c:pt>
                <c:pt idx="443">
                  <c:v>26.324477534357221</c:v>
                </c:pt>
                <c:pt idx="444">
                  <c:v>25.672569400170989</c:v>
                </c:pt>
                <c:pt idx="445">
                  <c:v>25.034073289686336</c:v>
                </c:pt>
                <c:pt idx="446">
                  <c:v>24.408710034656174</c:v>
                </c:pt>
                <c:pt idx="447">
                  <c:v>23.79620881062624</c:v>
                </c:pt>
                <c:pt idx="448">
                  <c:v>23.196306856622751</c:v>
                </c:pt>
                <c:pt idx="449">
                  <c:v>22.608749206163086</c:v>
                </c:pt>
                <c:pt idx="450">
                  <c:v>22.03328842907441</c:v>
                </c:pt>
                <c:pt idx="451">
                  <c:v>21.469684383632298</c:v>
                </c:pt>
                <c:pt idx="452">
                  <c:v>20.917703978555487</c:v>
                </c:pt>
                <c:pt idx="453">
                  <c:v>20.377120944417022</c:v>
                </c:pt>
                <c:pt idx="454">
                  <c:v>19.847715614053644</c:v>
                </c:pt>
                <c:pt idx="455">
                  <c:v>19.329274711576442</c:v>
                </c:pt>
                <c:pt idx="456">
                  <c:v>18.821591149605364</c:v>
                </c:pt>
                <c:pt idx="457">
                  <c:v>18.324463834368892</c:v>
                </c:pt>
                <c:pt idx="458">
                  <c:v>17.837697478327655</c:v>
                </c:pt>
                <c:pt idx="459">
                  <c:v>17.361102419997717</c:v>
                </c:pt>
                <c:pt idx="460">
                  <c:v>16.8944944506643</c:v>
                </c:pt>
                <c:pt idx="461">
                  <c:v>16.437694647692613</c:v>
                </c:pt>
                <c:pt idx="462">
                  <c:v>15.990529214155323</c:v>
                </c:pt>
                <c:pt idx="463">
                  <c:v>15.552829324510601</c:v>
                </c:pt>
                <c:pt idx="464">
                  <c:v>15.124430976076354</c:v>
                </c:pt>
                <c:pt idx="465">
                  <c:v>14.705174846058892</c:v>
                </c:pt>
                <c:pt idx="466">
                  <c:v>14.294906153904876</c:v>
                </c:pt>
                <c:pt idx="467">
                  <c:v>13.893474528756659</c:v>
                </c:pt>
                <c:pt idx="468">
                  <c:v>13.500733881800731</c:v>
                </c:pt>
                <c:pt idx="469">
                  <c:v>13.116542283308789</c:v>
                </c:pt>
                <c:pt idx="470">
                  <c:v>12.740761844179922</c:v>
                </c:pt>
                <c:pt idx="471">
                  <c:v>12.37325860180092</c:v>
                </c:pt>
                <c:pt idx="472">
                  <c:v>12.013902410049704</c:v>
                </c:pt>
                <c:pt idx="473">
                  <c:v>11.662566833274784</c:v>
                </c:pt>
                <c:pt idx="474">
                  <c:v>11.319129044090502</c:v>
                </c:pt>
                <c:pt idx="475">
                  <c:v>10.983469724834912</c:v>
                </c:pt>
                <c:pt idx="476">
                  <c:v>10.655472972543485</c:v>
                </c:pt>
                <c:pt idx="477">
                  <c:v>10.335026207297853</c:v>
                </c:pt>
                <c:pt idx="478">
                  <c:v>10.022020083814569</c:v>
                </c:pt>
                <c:pt idx="479">
                  <c:v>9.7163484061442311</c:v>
                </c:pt>
                <c:pt idx="480">
                  <c:v>9.4179080453564037</c:v>
                </c:pt>
                <c:pt idx="481">
                  <c:v>9.1265988600903043</c:v>
                </c:pt>
                <c:pt idx="482">
                  <c:v>8.8423236198560158</c:v>
                </c:pt>
                <c:pt idx="483">
                  <c:v>8.5649879309747181</c:v>
                </c:pt>
                <c:pt idx="484">
                  <c:v>8.2945001650505521</c:v>
                </c:pt>
                <c:pt idx="485">
                  <c:v>8.0307713898700879</c:v>
                </c:pt>
                <c:pt idx="486">
                  <c:v>7.7737153026288333</c:v>
                </c:pt>
                <c:pt idx="487">
                  <c:v>7.5232481653869412</c:v>
                </c:pt>
                <c:pt idx="488">
                  <c:v>7.2792887426592765</c:v>
                </c:pt>
                <c:pt idx="489">
                  <c:v>7.041758241047221</c:v>
                </c:pt>
                <c:pt idx="490">
                  <c:v>6.8105802508218272</c:v>
                </c:pt>
                <c:pt idx="491">
                  <c:v>6.5856806893698323</c:v>
                </c:pt>
                <c:pt idx="492">
                  <c:v>6.3669877464156146</c:v>
                </c:pt>
                <c:pt idx="493">
                  <c:v>6.1544318309335093</c:v>
                </c:pt>
                <c:pt idx="494">
                  <c:v>5.9479455196658799</c:v>
                </c:pt>
                <c:pt idx="495">
                  <c:v>5.7474635071631637</c:v>
                </c:pt>
                <c:pt idx="496">
                  <c:v>5.5529225572624528</c:v>
                </c:pt>
                <c:pt idx="497">
                  <c:v>5.3642614559214108</c:v>
                </c:pt>
                <c:pt idx="498">
                  <c:v>5.1814209653240404</c:v>
                </c:pt>
                <c:pt idx="499">
                  <c:v>5.0043437791744996</c:v>
                </c:pt>
                <c:pt idx="500">
                  <c:v>4.8329744790941991</c:v>
                </c:pt>
                <c:pt idx="501">
                  <c:v>4.6672594920364823</c:v>
                </c:pt>
                <c:pt idx="502">
                  <c:v>4.5071470486317038</c:v>
                </c:pt>
                <c:pt idx="503">
                  <c:v>4.3525871423738609</c:v>
                </c:pt>
                <c:pt idx="504">
                  <c:v>4.2035314895579896</c:v>
                </c:pt>
                <c:pt idx="505">
                  <c:v>4.0599334898752719</c:v>
                </c:pt>
                <c:pt idx="506">
                  <c:v>3.9217481875704192</c:v>
                </c:pt>
                <c:pt idx="507">
                  <c:v>3.7889322330632598</c:v>
                </c:pt>
                <c:pt idx="508">
                  <c:v>3.6614438449337281</c:v>
                </c:pt>
                <c:pt idx="509">
                  <c:v>3.5392427721667379</c:v>
                </c:pt>
                <c:pt idx="510">
                  <c:v>3.4222902565506579</c:v>
                </c:pt>
                <c:pt idx="511">
                  <c:v>3.3105489951206817</c:v>
                </c:pt>
                <c:pt idx="512">
                  <c:v>3.2039831025360987</c:v>
                </c:pt>
                <c:pt idx="513">
                  <c:v>3.1025580732788827</c:v>
                </c:pt>
                <c:pt idx="514">
                  <c:v>3.0062407435599106</c:v>
                </c:pt>
                <c:pt idx="515">
                  <c:v>2.9149992528191282</c:v>
                </c:pt>
                <c:pt idx="516">
                  <c:v>2.8288030047070323</c:v>
                </c:pt>
                <c:pt idx="517">
                  <c:v>2.7476226274373539</c:v>
                </c:pt>
                <c:pt idx="518">
                  <c:v>2.671429933405129</c:v>
                </c:pt>
                <c:pt idx="519">
                  <c:v>2.6001978779705643</c:v>
                </c:pt>
                <c:pt idx="520">
                  <c:v>2.5339005173176865</c:v>
                </c:pt>
                <c:pt idx="521">
                  <c:v>2.4725129653078874</c:v>
                </c:pt>
                <c:pt idx="522">
                  <c:v>2.4160113492622317</c:v>
                </c:pt>
                <c:pt idx="523">
                  <c:v>2.3643727646231834</c:v>
                </c:pt>
                <c:pt idx="524">
                  <c:v>2.317575228465909</c:v>
                </c:pt>
                <c:pt idx="525">
                  <c:v>2.2755976318516877</c:v>
                </c:pt>
                <c:pt idx="526">
                  <c:v>2.2384196910408427</c:v>
                </c:pt>
                <c:pt idx="527">
                  <c:v>2.2060218976095873</c:v>
                </c:pt>
                <c:pt idx="528">
                  <c:v>2.1783854675436869</c:v>
                </c:pt>
                <c:pt idx="529">
                  <c:v>2.1554922894111628</c:v>
                </c:pt>
                <c:pt idx="530">
                  <c:v>2.1373248717453897</c:v>
                </c:pt>
                <c:pt idx="531">
                  <c:v>2.1238662897980602</c:v>
                </c:pt>
                <c:pt idx="532">
                  <c:v>2.1151001318473139</c:v>
                </c:pt>
                <c:pt idx="533">
                  <c:v>2.111010445269033</c:v>
                </c:pt>
                <c:pt idx="534">
                  <c:v>2.1115816825977434</c:v>
                </c:pt>
                <c:pt idx="535">
                  <c:v>2.1167986478169438</c:v>
                </c:pt>
                <c:pt idx="536">
                  <c:v>2.1266464431265013</c:v>
                </c:pt>
                <c:pt idx="537">
                  <c:v>2.1411104164364501</c:v>
                </c:pt>
                <c:pt idx="538">
                  <c:v>2.1601761098321601</c:v>
                </c:pt>
                <c:pt idx="539">
                  <c:v>2.1838292092457006</c:v>
                </c:pt>
                <c:pt idx="540">
                  <c:v>2.2120554955525358</c:v>
                </c:pt>
                <c:pt idx="541">
                  <c:v>2.2448407972925621</c:v>
                </c:pt>
                <c:pt idx="542">
                  <c:v>2.2821709451905372</c:v>
                </c:pt>
                <c:pt idx="543">
                  <c:v>2.3240317286243943</c:v>
                </c:pt>
                <c:pt idx="544">
                  <c:v>2.3704088541617252</c:v>
                </c:pt>
                <c:pt idx="545">
                  <c:v>2.4212879062560044</c:v>
                </c:pt>
                <c:pt idx="546">
                  <c:v>2.4766543101657952</c:v>
                </c:pt>
                <c:pt idx="547">
                  <c:v>2.5364932971330836</c:v>
                </c:pt>
                <c:pt idx="548">
                  <c:v>2.6007898718317595</c:v>
                </c:pt>
                <c:pt idx="549">
                  <c:v>2.6695287820744609</c:v>
                </c:pt>
                <c:pt idx="550">
                  <c:v>2.7426944907460418</c:v>
                </c:pt>
                <c:pt idx="551">
                  <c:v>2.8202711499148561</c:v>
                </c:pt>
                <c:pt idx="552">
                  <c:v>2.9022425770588702</c:v>
                </c:pt>
                <c:pt idx="553">
                  <c:v>2.9885922333324446</c:v>
                </c:pt>
                <c:pt idx="554">
                  <c:v>3.0793032037910391</c:v>
                </c:pt>
                <c:pt idx="555">
                  <c:v>3.1743581794850426</c:v>
                </c:pt>
                <c:pt idx="556">
                  <c:v>3.273739441330064</c:v>
                </c:pt>
                <c:pt idx="557">
                  <c:v>3.3774288456590429</c:v>
                </c:pt>
                <c:pt idx="558">
                  <c:v>3.4854078113612785</c:v>
                </c:pt>
                <c:pt idx="559">
                  <c:v>3.5976573085143406</c:v>
                </c:pt>
                <c:pt idx="560">
                  <c:v>3.7141578484170643</c:v>
                </c:pt>
                <c:pt idx="561">
                  <c:v>3.8348894749345979</c:v>
                </c:pt>
                <c:pt idx="562">
                  <c:v>3.9598317570700856</c:v>
                </c:pt>
                <c:pt idx="563">
                  <c:v>4.0889637826814749</c:v>
                </c:pt>
                <c:pt idx="564">
                  <c:v>4.222264153266253</c:v>
                </c:pt>
                <c:pt idx="565">
                  <c:v>4.3597109797412363</c:v>
                </c:pt>
                <c:pt idx="566">
                  <c:v>4.5012818791490421</c:v>
                </c:pt>
                <c:pt idx="567">
                  <c:v>4.646953972227271</c:v>
                </c:pt>
                <c:pt idx="568">
                  <c:v>4.7967038817807337</c:v>
                </c:pt>
                <c:pt idx="569">
                  <c:v>4.9505077318012383</c:v>
                </c:pt>
                <c:pt idx="570">
                  <c:v>5.1083411472834328</c:v>
                </c:pt>
                <c:pt idx="571">
                  <c:v>5.2701792546889914</c:v>
                </c:pt>
                <c:pt idx="572">
                  <c:v>5.4359966830149746</c:v>
                </c:pt>
                <c:pt idx="573">
                  <c:v>5.6057675654255785</c:v>
                </c:pt>
                <c:pt idx="574">
                  <c:v>5.7794655414095626</c:v>
                </c:pt>
                <c:pt idx="575">
                  <c:v>5.9570637594285447</c:v>
                </c:pt>
                <c:pt idx="576">
                  <c:v>6.1385348800240251</c:v>
                </c:pt>
                <c:pt idx="577">
                  <c:v>6.3238510793534966</c:v>
                </c:pt>
                <c:pt idx="578">
                  <c:v>6.5129840531282088</c:v>
                </c:pt>
                <c:pt idx="579">
                  <c:v>6.7059050209272977</c:v>
                </c:pt>
                <c:pt idx="580">
                  <c:v>6.9025847308648123</c:v>
                </c:pt>
                <c:pt idx="581">
                  <c:v>7.1029934645880344</c:v>
                </c:pt>
                <c:pt idx="582">
                  <c:v>7.3071010425869174</c:v>
                </c:pt>
                <c:pt idx="583">
                  <c:v>7.514876829796088</c:v>
                </c:pt>
                <c:pt idx="584">
                  <c:v>7.7262897414720637</c:v>
                </c:pt>
                <c:pt idx="585">
                  <c:v>7.9413082493295164</c:v>
                </c:pt>
                <c:pt idx="586">
                  <c:v>8.1599003879216525</c:v>
                </c:pt>
                <c:pt idx="587">
                  <c:v>8.3820337612505948</c:v>
                </c:pt>
                <c:pt idx="588">
                  <c:v>8.6076755495947186</c:v>
                </c:pt>
                <c:pt idx="589">
                  <c:v>8.8367925165405428</c:v>
                </c:pt>
                <c:pt idx="590">
                  <c:v>9.0693510162077029</c:v>
                </c:pt>
                <c:pt idx="591">
                  <c:v>9.3053170006560624</c:v>
                </c:pt>
                <c:pt idx="592">
                  <c:v>9.544656027464713</c:v>
                </c:pt>
                <c:pt idx="593">
                  <c:v>9.7873332674731746</c:v>
                </c:pt>
                <c:pt idx="594">
                  <c:v>10.033313512675543</c:v>
                </c:pt>
                <c:pt idx="595">
                  <c:v>10.282561184258912</c:v>
                </c:pt>
                <c:pt idx="596">
                  <c:v>10.535040340777698</c:v>
                </c:pt>
                <c:pt idx="597">
                  <c:v>10.79071468645594</c:v>
                </c:pt>
                <c:pt idx="598">
                  <c:v>11.04954757961004</c:v>
                </c:pt>
                <c:pt idx="599">
                  <c:v>11.311502041184591</c:v>
                </c:pt>
                <c:pt idx="600">
                  <c:v>11.576540763394419</c:v>
                </c:pt>
                <c:pt idx="601">
                  <c:v>11.844626118466003</c:v>
                </c:pt>
                <c:pt idx="602">
                  <c:v>12.115720167471947</c:v>
                </c:pt>
                <c:pt idx="603">
                  <c:v>12.389784669252151</c:v>
                </c:pt>
                <c:pt idx="604">
                  <c:v>12.666781089415663</c:v>
                </c:pt>
                <c:pt idx="605">
                  <c:v>12.946670609417408</c:v>
                </c:pt>
                <c:pt idx="606">
                  <c:v>13.229414135704085</c:v>
                </c:pt>
                <c:pt idx="607">
                  <c:v>13.514972308923678</c:v>
                </c:pt>
                <c:pt idx="608">
                  <c:v>13.803305513193289</c:v>
                </c:pt>
                <c:pt idx="609">
                  <c:v>14.094373885419957</c:v>
                </c:pt>
                <c:pt idx="610">
                  <c:v>14.388137324669497</c:v>
                </c:pt>
                <c:pt idx="611">
                  <c:v>14.684555501578181</c:v>
                </c:pt>
                <c:pt idx="612">
                  <c:v>14.983587867802646</c:v>
                </c:pt>
                <c:pt idx="613">
                  <c:v>15.285193665502954</c:v>
                </c:pt>
                <c:pt idx="614">
                  <c:v>15.589331936854395</c:v>
                </c:pt>
                <c:pt idx="615">
                  <c:v>15.895961533583305</c:v>
                </c:pt>
                <c:pt idx="616">
                  <c:v>16.205041126522463</c:v>
                </c:pt>
                <c:pt idx="617">
                  <c:v>16.516529215181613</c:v>
                </c:pt>
                <c:pt idx="618">
                  <c:v>16.830384137328871</c:v>
                </c:pt>
                <c:pt idx="619">
                  <c:v>17.146564078578663</c:v>
                </c:pt>
                <c:pt idx="620">
                  <c:v>17.465027081982129</c:v>
                </c:pt>
                <c:pt idx="621">
                  <c:v>17.785731057615713</c:v>
                </c:pt>
                <c:pt idx="622">
                  <c:v>18.108633792164177</c:v>
                </c:pt>
                <c:pt idx="623">
                  <c:v>18.433692958493715</c:v>
                </c:pt>
                <c:pt idx="624">
                  <c:v>18.760866125211678</c:v>
                </c:pt>
                <c:pt idx="625">
                  <c:v>19.090110766208621</c:v>
                </c:pt>
                <c:pt idx="626">
                  <c:v>19.421384270179306</c:v>
                </c:pt>
                <c:pt idx="627">
                  <c:v>19.754643950118638</c:v>
                </c:pt>
                <c:pt idx="628">
                  <c:v>20.089847052789111</c:v>
                </c:pt>
                <c:pt idx="629">
                  <c:v>20.426950768155951</c:v>
                </c:pt>
                <c:pt idx="630">
                  <c:v>20.765912238786651</c:v>
                </c:pt>
                <c:pt idx="631">
                  <c:v>21.106688569211247</c:v>
                </c:pt>
                <c:pt idx="632">
                  <c:v>21.44923683523999</c:v>
                </c:pt>
                <c:pt idx="633">
                  <c:v>21.793514093235071</c:v>
                </c:pt>
                <c:pt idx="634">
                  <c:v>22.13947738933312</c:v>
                </c:pt>
                <c:pt idx="635">
                  <c:v>22.48708376861514</c:v>
                </c:pt>
                <c:pt idx="636">
                  <c:v>22.836290284220862</c:v>
                </c:pt>
                <c:pt idx="637">
                  <c:v>23.187054006404288</c:v>
                </c:pt>
                <c:pt idx="638">
                  <c:v>23.539332031527355</c:v>
                </c:pt>
                <c:pt idx="639">
                  <c:v>23.893081490988791</c:v>
                </c:pt>
                <c:pt idx="640">
                  <c:v>24.248259560085309</c:v>
                </c:pt>
                <c:pt idx="641">
                  <c:v>24.604823466801953</c:v>
                </c:pt>
                <c:pt idx="642">
                  <c:v>24.962730500529194</c:v>
                </c:pt>
                <c:pt idx="643">
                  <c:v>25.321938020703698</c:v>
                </c:pt>
                <c:pt idx="644">
                  <c:v>25.68240346537026</c:v>
                </c:pt>
                <c:pt idx="645">
                  <c:v>26.044084359662165</c:v>
                </c:pt>
                <c:pt idx="646">
                  <c:v>26.40693832419754</c:v>
                </c:pt>
                <c:pt idx="647">
                  <c:v>26.770923083389047</c:v>
                </c:pt>
                <c:pt idx="648">
                  <c:v>27.135996473664601</c:v>
                </c:pt>
                <c:pt idx="649">
                  <c:v>27.50211645159667</c:v>
                </c:pt>
                <c:pt idx="650">
                  <c:v>27.869241101937906</c:v>
                </c:pt>
                <c:pt idx="651">
                  <c:v>28.237328645560762</c:v>
                </c:pt>
                <c:pt idx="652">
                  <c:v>28.606337447299044</c:v>
                </c:pt>
                <c:pt idx="653">
                  <c:v>28.976226023689247</c:v>
                </c:pt>
                <c:pt idx="654">
                  <c:v>29.346953050609457</c:v>
                </c:pt>
                <c:pt idx="655">
                  <c:v>29.718477370814174</c:v>
                </c:pt>
                <c:pt idx="656">
                  <c:v>30.090758001362836</c:v>
                </c:pt>
                <c:pt idx="657">
                  <c:v>30.463754140940289</c:v>
                </c:pt>
                <c:pt idx="658">
                  <c:v>30.837425177067594</c:v>
                </c:pt>
                <c:pt idx="659">
                  <c:v>31.211730693201094</c:v>
                </c:pt>
                <c:pt idx="660">
                  <c:v>31.586630475718454</c:v>
                </c:pt>
                <c:pt idx="661">
                  <c:v>31.962084520789883</c:v>
                </c:pt>
                <c:pt idx="662">
                  <c:v>32.338053041133136</c:v>
                </c:pt>
                <c:pt idx="663">
                  <c:v>32.71449647265073</c:v>
                </c:pt>
                <c:pt idx="664">
                  <c:v>33.091375480948045</c:v>
                </c:pt>
                <c:pt idx="665">
                  <c:v>33.468650967731229</c:v>
                </c:pt>
                <c:pt idx="666">
                  <c:v>33.846284077083162</c:v>
                </c:pt>
                <c:pt idx="667">
                  <c:v>34.224236201616776</c:v>
                </c:pt>
                <c:pt idx="668">
                  <c:v>34.60246898850442</c:v>
                </c:pt>
                <c:pt idx="669">
                  <c:v>34.980944345382298</c:v>
                </c:pt>
                <c:pt idx="670">
                  <c:v>35.359624446128777</c:v>
                </c:pt>
                <c:pt idx="671">
                  <c:v>35.738471736516125</c:v>
                </c:pt>
                <c:pt idx="672">
                  <c:v>36.11744893973426</c:v>
                </c:pt>
                <c:pt idx="673">
                  <c:v>36.496519061786309</c:v>
                </c:pt>
                <c:pt idx="674">
                  <c:v>36.875645396754841</c:v>
                </c:pt>
                <c:pt idx="675">
                  <c:v>37.254791531938238</c:v>
                </c:pt>
                <c:pt idx="676">
                  <c:v>37.633921352856895</c:v>
                </c:pt>
                <c:pt idx="677">
                  <c:v>38.012999048128258</c:v>
                </c:pt>
                <c:pt idx="678">
                  <c:v>38.391989114210716</c:v>
                </c:pt>
                <c:pt idx="679">
                  <c:v>38.770856360015607</c:v>
                </c:pt>
                <c:pt idx="680">
                  <c:v>39.149565911387363</c:v>
                </c:pt>
                <c:pt idx="681">
                  <c:v>39.528083215451133</c:v>
                </c:pt>
                <c:pt idx="682">
                  <c:v>39.906374044828084</c:v>
                </c:pt>
                <c:pt idx="683">
                  <c:v>40.284404501717944</c:v>
                </c:pt>
                <c:pt idx="684">
                  <c:v>40.66214102184896</c:v>
                </c:pt>
                <c:pt idx="685">
                  <c:v>41.03955037829499</c:v>
                </c:pt>
                <c:pt idx="686">
                  <c:v>41.416599685160129</c:v>
                </c:pt>
                <c:pt idx="687">
                  <c:v>41.793256401130598</c:v>
                </c:pt>
                <c:pt idx="688">
                  <c:v>42.169488332894311</c:v>
                </c:pt>
                <c:pt idx="689">
                  <c:v>42.545263638428352</c:v>
                </c:pt>
                <c:pt idx="690">
                  <c:v>42.92055083015449</c:v>
                </c:pt>
                <c:pt idx="691">
                  <c:v>43.295318777963097</c:v>
                </c:pt>
                <c:pt idx="692">
                  <c:v>43.66953671210603</c:v>
                </c:pt>
                <c:pt idx="693">
                  <c:v>44.043174225958737</c:v>
                </c:pt>
                <c:pt idx="694">
                  <c:v>44.416201278652181</c:v>
                </c:pt>
                <c:pt idx="695">
                  <c:v>44.788588197575109</c:v>
                </c:pt>
                <c:pt idx="696">
                  <c:v>45.160305680747179</c:v>
                </c:pt>
                <c:pt idx="697">
                  <c:v>45.531324799063874</c:v>
                </c:pt>
                <c:pt idx="698">
                  <c:v>45.901616998413495</c:v>
                </c:pt>
                <c:pt idx="699">
                  <c:v>46.2711541016673</c:v>
                </c:pt>
                <c:pt idx="700">
                  <c:v>46.639908310543632</c:v>
                </c:pt>
                <c:pt idx="701">
                  <c:v>47.007852207346588</c:v>
                </c:pt>
                <c:pt idx="702">
                  <c:v>47.374958756580128</c:v>
                </c:pt>
                <c:pt idx="703">
                  <c:v>47.741201306439073</c:v>
                </c:pt>
                <c:pt idx="704">
                  <c:v>48.106553590177299</c:v>
                </c:pt>
                <c:pt idx="705">
                  <c:v>48.470989727354599</c:v>
                </c:pt>
                <c:pt idx="706">
                  <c:v>48.834484224962914</c:v>
                </c:pt>
                <c:pt idx="707">
                  <c:v>49.197011978433608</c:v>
                </c:pt>
                <c:pt idx="708">
                  <c:v>49.558548272526139</c:v>
                </c:pt>
                <c:pt idx="709">
                  <c:v>49.919068782099984</c:v>
                </c:pt>
                <c:pt idx="710">
                  <c:v>50.278549572770586</c:v>
                </c:pt>
                <c:pt idx="711">
                  <c:v>50.636967101450992</c:v>
                </c:pt>
                <c:pt idx="712">
                  <c:v>50.994298216779789</c:v>
                </c:pt>
                <c:pt idx="713">
                  <c:v>51.350520159437572</c:v>
                </c:pt>
                <c:pt idx="714">
                  <c:v>51.705610562352469</c:v>
                </c:pt>
                <c:pt idx="715">
                  <c:v>52.059547450796359</c:v>
                </c:pt>
                <c:pt idx="716">
                  <c:v>52.41230924237361</c:v>
                </c:pt>
                <c:pt idx="717">
                  <c:v>52.412659857187897</c:v>
                </c:pt>
                <c:pt idx="718">
                  <c:v>52.41301047081101</c:v>
                </c:pt>
                <c:pt idx="719">
                  <c:v>52.413361083242869</c:v>
                </c:pt>
                <c:pt idx="720">
                  <c:v>52.413711694483474</c:v>
                </c:pt>
                <c:pt idx="721">
                  <c:v>52.414062304532777</c:v>
                </c:pt>
                <c:pt idx="722">
                  <c:v>52.414412913390812</c:v>
                </c:pt>
                <c:pt idx="723">
                  <c:v>52.414763521057544</c:v>
                </c:pt>
                <c:pt idx="724">
                  <c:v>52.415114127532888</c:v>
                </c:pt>
                <c:pt idx="725">
                  <c:v>52.415464732816901</c:v>
                </c:pt>
                <c:pt idx="726">
                  <c:v>52.415815336909553</c:v>
                </c:pt>
                <c:pt idx="727">
                  <c:v>52.41616593981076</c:v>
                </c:pt>
                <c:pt idx="728">
                  <c:v>52.416516541520565</c:v>
                </c:pt>
                <c:pt idx="729">
                  <c:v>52.416867142038932</c:v>
                </c:pt>
                <c:pt idx="730">
                  <c:v>52.417217741365839</c:v>
                </c:pt>
                <c:pt idx="731">
                  <c:v>52.41756833950123</c:v>
                </c:pt>
                <c:pt idx="732">
                  <c:v>52.417918936445155</c:v>
                </c:pt>
                <c:pt idx="733">
                  <c:v>52.418269532197527</c:v>
                </c:pt>
                <c:pt idx="734">
                  <c:v>52.418620126758356</c:v>
                </c:pt>
                <c:pt idx="735">
                  <c:v>52.418970720127604</c:v>
                </c:pt>
                <c:pt idx="736">
                  <c:v>52.419321312305286</c:v>
                </c:pt>
                <c:pt idx="737">
                  <c:v>52.419671903291388</c:v>
                </c:pt>
                <c:pt idx="738">
                  <c:v>52.420022493085845</c:v>
                </c:pt>
                <c:pt idx="739">
                  <c:v>52.420373081688595</c:v>
                </c:pt>
                <c:pt idx="740">
                  <c:v>52.42072366909975</c:v>
                </c:pt>
                <c:pt idx="741">
                  <c:v>52.421074255319176</c:v>
                </c:pt>
                <c:pt idx="742">
                  <c:v>52.42142484034688</c:v>
                </c:pt>
                <c:pt idx="743">
                  <c:v>52.421775424182883</c:v>
                </c:pt>
                <c:pt idx="744">
                  <c:v>52.422126006827142</c:v>
                </c:pt>
                <c:pt idx="745">
                  <c:v>52.422476588279586</c:v>
                </c:pt>
                <c:pt idx="746">
                  <c:v>52.422827168540245</c:v>
                </c:pt>
                <c:pt idx="747">
                  <c:v>52.42317774760911</c:v>
                </c:pt>
                <c:pt idx="748">
                  <c:v>52.423528325486117</c:v>
                </c:pt>
                <c:pt idx="749">
                  <c:v>52.423878902171275</c:v>
                </c:pt>
                <c:pt idx="750">
                  <c:v>52.424229477664568</c:v>
                </c:pt>
                <c:pt idx="751">
                  <c:v>52.424580051965954</c:v>
                </c:pt>
                <c:pt idx="752">
                  <c:v>52.424930625075433</c:v>
                </c:pt>
                <c:pt idx="753">
                  <c:v>52.425281196992955</c:v>
                </c:pt>
                <c:pt idx="754">
                  <c:v>52.425631767718521</c:v>
                </c:pt>
                <c:pt idx="755">
                  <c:v>52.42598233725213</c:v>
                </c:pt>
                <c:pt idx="756">
                  <c:v>52.426332905593718</c:v>
                </c:pt>
                <c:pt idx="757">
                  <c:v>52.426683472743271</c:v>
                </c:pt>
                <c:pt idx="758">
                  <c:v>52.427034038700803</c:v>
                </c:pt>
                <c:pt idx="759">
                  <c:v>52.42738460346628</c:v>
                </c:pt>
                <c:pt idx="760">
                  <c:v>52.427735167039643</c:v>
                </c:pt>
                <c:pt idx="761">
                  <c:v>52.428085729420921</c:v>
                </c:pt>
                <c:pt idx="762">
                  <c:v>52.428436290610108</c:v>
                </c:pt>
                <c:pt idx="763">
                  <c:v>52.428786850607125</c:v>
                </c:pt>
                <c:pt idx="764">
                  <c:v>52.429137409411958</c:v>
                </c:pt>
                <c:pt idx="765">
                  <c:v>52.429487967024592</c:v>
                </c:pt>
                <c:pt idx="766">
                  <c:v>52.429838523445049</c:v>
                </c:pt>
                <c:pt idx="767">
                  <c:v>52.430189078673287</c:v>
                </c:pt>
                <c:pt idx="768">
                  <c:v>52.430539632709262</c:v>
                </c:pt>
                <c:pt idx="769">
                  <c:v>52.430890185552983</c:v>
                </c:pt>
                <c:pt idx="770">
                  <c:v>52.431240737204398</c:v>
                </c:pt>
                <c:pt idx="771">
                  <c:v>52.431591287663508</c:v>
                </c:pt>
                <c:pt idx="772">
                  <c:v>52.431941836930285</c:v>
                </c:pt>
                <c:pt idx="773">
                  <c:v>52.4322923850047</c:v>
                </c:pt>
                <c:pt idx="774">
                  <c:v>52.432642931886754</c:v>
                </c:pt>
                <c:pt idx="775">
                  <c:v>52.432993477576431</c:v>
                </c:pt>
                <c:pt idx="776">
                  <c:v>52.433344022073683</c:v>
                </c:pt>
                <c:pt idx="777">
                  <c:v>52.433694565378516</c:v>
                </c:pt>
                <c:pt idx="778">
                  <c:v>52.434045107490867</c:v>
                </c:pt>
                <c:pt idx="779">
                  <c:v>52.434395648410757</c:v>
                </c:pt>
                <c:pt idx="780">
                  <c:v>52.434746188138163</c:v>
                </c:pt>
                <c:pt idx="781">
                  <c:v>52.435096726673031</c:v>
                </c:pt>
                <c:pt idx="782">
                  <c:v>52.435447264015359</c:v>
                </c:pt>
                <c:pt idx="783">
                  <c:v>52.43579780016514</c:v>
                </c:pt>
                <c:pt idx="784">
                  <c:v>52.436148335122368</c:v>
                </c:pt>
                <c:pt idx="785">
                  <c:v>52.436498868886964</c:v>
                </c:pt>
                <c:pt idx="786">
                  <c:v>52.43684940145895</c:v>
                </c:pt>
                <c:pt idx="787">
                  <c:v>52.437199932838297</c:v>
                </c:pt>
                <c:pt idx="788">
                  <c:v>52.437550463025005</c:v>
                </c:pt>
                <c:pt idx="789">
                  <c:v>52.437900992018996</c:v>
                </c:pt>
                <c:pt idx="790">
                  <c:v>52.438251519820327</c:v>
                </c:pt>
                <c:pt idx="791">
                  <c:v>52.438602046428883</c:v>
                </c:pt>
                <c:pt idx="792">
                  <c:v>52.438952571844702</c:v>
                </c:pt>
                <c:pt idx="793">
                  <c:v>52.439303096067789</c:v>
                </c:pt>
                <c:pt idx="794">
                  <c:v>52.439653619098095</c:v>
                </c:pt>
                <c:pt idx="795">
                  <c:v>52.440004140935599</c:v>
                </c:pt>
                <c:pt idx="796">
                  <c:v>52.440354661580258</c:v>
                </c:pt>
                <c:pt idx="797">
                  <c:v>52.440705181032079</c:v>
                </c:pt>
                <c:pt idx="798">
                  <c:v>52.441055699291041</c:v>
                </c:pt>
                <c:pt idx="799">
                  <c:v>52.44140621635708</c:v>
                </c:pt>
                <c:pt idx="800">
                  <c:v>52.441756732230225</c:v>
                </c:pt>
                <c:pt idx="801">
                  <c:v>52.44210724691046</c:v>
                </c:pt>
                <c:pt idx="802">
                  <c:v>52.442457760397694</c:v>
                </c:pt>
                <c:pt idx="803">
                  <c:v>52.44280827269202</c:v>
                </c:pt>
                <c:pt idx="804">
                  <c:v>52.443158783793329</c:v>
                </c:pt>
                <c:pt idx="805">
                  <c:v>52.443509293701645</c:v>
                </c:pt>
                <c:pt idx="806">
                  <c:v>52.443859802416917</c:v>
                </c:pt>
                <c:pt idx="807">
                  <c:v>52.44421030993913</c:v>
                </c:pt>
                <c:pt idx="808">
                  <c:v>52.444560816268314</c:v>
                </c:pt>
                <c:pt idx="809">
                  <c:v>52.444911321404369</c:v>
                </c:pt>
                <c:pt idx="810">
                  <c:v>52.445261825347288</c:v>
                </c:pt>
                <c:pt idx="811">
                  <c:v>52.445612328097127</c:v>
                </c:pt>
                <c:pt idx="812">
                  <c:v>52.44596282965378</c:v>
                </c:pt>
                <c:pt idx="813">
                  <c:v>52.446313330017226</c:v>
                </c:pt>
                <c:pt idx="814">
                  <c:v>52.446663829187507</c:v>
                </c:pt>
                <c:pt idx="815">
                  <c:v>52.447014327164545</c:v>
                </c:pt>
                <c:pt idx="816">
                  <c:v>52.447364823948391</c:v>
                </c:pt>
                <c:pt idx="817">
                  <c:v>52.447715319538958</c:v>
                </c:pt>
                <c:pt idx="818">
                  <c:v>52.448065813936246</c:v>
                </c:pt>
                <c:pt idx="819">
                  <c:v>52.448416307140221</c:v>
                </c:pt>
                <c:pt idx="820">
                  <c:v>52.448766799150889</c:v>
                </c:pt>
                <c:pt idx="821">
                  <c:v>52.449117289968264</c:v>
                </c:pt>
                <c:pt idx="822">
                  <c:v>52.449467779592197</c:v>
                </c:pt>
                <c:pt idx="823">
                  <c:v>52.449818268022796</c:v>
                </c:pt>
                <c:pt idx="824">
                  <c:v>52.450168755259959</c:v>
                </c:pt>
                <c:pt idx="825">
                  <c:v>52.450519241303731</c:v>
                </c:pt>
                <c:pt idx="826">
                  <c:v>52.450869726154039</c:v>
                </c:pt>
                <c:pt idx="827">
                  <c:v>52.451220209810927</c:v>
                </c:pt>
                <c:pt idx="828">
                  <c:v>52.451570692274281</c:v>
                </c:pt>
                <c:pt idx="829">
                  <c:v>52.451921173544129</c:v>
                </c:pt>
                <c:pt idx="830">
                  <c:v>52.45227165362045</c:v>
                </c:pt>
                <c:pt idx="831">
                  <c:v>52.452622132503258</c:v>
                </c:pt>
                <c:pt idx="832">
                  <c:v>52.452972610192454</c:v>
                </c:pt>
                <c:pt idx="833">
                  <c:v>52.453323086688087</c:v>
                </c:pt>
                <c:pt idx="834">
                  <c:v>52.453673561990122</c:v>
                </c:pt>
                <c:pt idx="835">
                  <c:v>52.454024036098517</c:v>
                </c:pt>
                <c:pt idx="836">
                  <c:v>52.454374509013256</c:v>
                </c:pt>
                <c:pt idx="837">
                  <c:v>52.454724980734305</c:v>
                </c:pt>
                <c:pt idx="838">
                  <c:v>52.455075451261706</c:v>
                </c:pt>
                <c:pt idx="839">
                  <c:v>52.455425920595381</c:v>
                </c:pt>
                <c:pt idx="840">
                  <c:v>52.45577638873533</c:v>
                </c:pt>
                <c:pt idx="841">
                  <c:v>52.456126855681497</c:v>
                </c:pt>
                <c:pt idx="842">
                  <c:v>52.45647732143393</c:v>
                </c:pt>
                <c:pt idx="843">
                  <c:v>52.456827785992516</c:v>
                </c:pt>
                <c:pt idx="844">
                  <c:v>52.45717824935732</c:v>
                </c:pt>
                <c:pt idx="845">
                  <c:v>52.457528711528319</c:v>
                </c:pt>
                <c:pt idx="846">
                  <c:v>52.457879172505407</c:v>
                </c:pt>
                <c:pt idx="847">
                  <c:v>52.458229632288671</c:v>
                </c:pt>
                <c:pt idx="848">
                  <c:v>52.458580090877994</c:v>
                </c:pt>
                <c:pt idx="849">
                  <c:v>52.458930548273408</c:v>
                </c:pt>
                <c:pt idx="850">
                  <c:v>52.459281004474896</c:v>
                </c:pt>
                <c:pt idx="851">
                  <c:v>52.459631459482402</c:v>
                </c:pt>
                <c:pt idx="852">
                  <c:v>52.459981913295969</c:v>
                </c:pt>
                <c:pt idx="853">
                  <c:v>52.460332365915477</c:v>
                </c:pt>
                <c:pt idx="854">
                  <c:v>52.460682817341009</c:v>
                </c:pt>
                <c:pt idx="855">
                  <c:v>52.461033267572525</c:v>
                </c:pt>
                <c:pt idx="856">
                  <c:v>52.461383716609937</c:v>
                </c:pt>
                <c:pt idx="857">
                  <c:v>52.461734164453297</c:v>
                </c:pt>
                <c:pt idx="858">
                  <c:v>52.462084611102533</c:v>
                </c:pt>
                <c:pt idx="859">
                  <c:v>52.462435056557617</c:v>
                </c:pt>
                <c:pt idx="860">
                  <c:v>52.462785500818597</c:v>
                </c:pt>
                <c:pt idx="861">
                  <c:v>52.463135943885405</c:v>
                </c:pt>
                <c:pt idx="862">
                  <c:v>52.463486385758053</c:v>
                </c:pt>
                <c:pt idx="863">
                  <c:v>52.463836826436477</c:v>
                </c:pt>
                <c:pt idx="864">
                  <c:v>52.464187265920643</c:v>
                </c:pt>
                <c:pt idx="865">
                  <c:v>52.464537704210592</c:v>
                </c:pt>
                <c:pt idx="866">
                  <c:v>52.464888141306282</c:v>
                </c:pt>
                <c:pt idx="867">
                  <c:v>52.465238577207643</c:v>
                </c:pt>
                <c:pt idx="868">
                  <c:v>52.465589011914766</c:v>
                </c:pt>
                <c:pt idx="869">
                  <c:v>52.465939445427466</c:v>
                </c:pt>
                <c:pt idx="870">
                  <c:v>52.466289877745865</c:v>
                </c:pt>
                <c:pt idx="871">
                  <c:v>52.466640308869891</c:v>
                </c:pt>
                <c:pt idx="872">
                  <c:v>52.466990738799538</c:v>
                </c:pt>
                <c:pt idx="873">
                  <c:v>52.467341167534741</c:v>
                </c:pt>
                <c:pt idx="874">
                  <c:v>52.467691595075529</c:v>
                </c:pt>
                <c:pt idx="875">
                  <c:v>52.468042021421873</c:v>
                </c:pt>
                <c:pt idx="876">
                  <c:v>52.468392446573738</c:v>
                </c:pt>
                <c:pt idx="877">
                  <c:v>52.468742870531102</c:v>
                </c:pt>
                <c:pt idx="878">
                  <c:v>52.469093293293945</c:v>
                </c:pt>
                <c:pt idx="879">
                  <c:v>52.469443714862273</c:v>
                </c:pt>
                <c:pt idx="880">
                  <c:v>52.469794135236036</c:v>
                </c:pt>
                <c:pt idx="881">
                  <c:v>52.470144554415207</c:v>
                </c:pt>
                <c:pt idx="882">
                  <c:v>52.47049497239982</c:v>
                </c:pt>
                <c:pt idx="883">
                  <c:v>52.470845389189797</c:v>
                </c:pt>
                <c:pt idx="884">
                  <c:v>52.471195804785111</c:v>
                </c:pt>
                <c:pt idx="885">
                  <c:v>52.47154621918579</c:v>
                </c:pt>
                <c:pt idx="886">
                  <c:v>52.471896632391775</c:v>
                </c:pt>
                <c:pt idx="887">
                  <c:v>52.47224704440309</c:v>
                </c:pt>
                <c:pt idx="888">
                  <c:v>52.472597455219663</c:v>
                </c:pt>
                <c:pt idx="889">
                  <c:v>52.472947864841466</c:v>
                </c:pt>
                <c:pt idx="890">
                  <c:v>52.473298273268576</c:v>
                </c:pt>
                <c:pt idx="891">
                  <c:v>52.473648680500808</c:v>
                </c:pt>
                <c:pt idx="892">
                  <c:v>52.473999086538313</c:v>
                </c:pt>
                <c:pt idx="893">
                  <c:v>52.474349491380991</c:v>
                </c:pt>
                <c:pt idx="894">
                  <c:v>52.474699895028806</c:v>
                </c:pt>
                <c:pt idx="895">
                  <c:v>52.475050297481772</c:v>
                </c:pt>
                <c:pt idx="896">
                  <c:v>52.475400698739847</c:v>
                </c:pt>
                <c:pt idx="897">
                  <c:v>52.475751098803009</c:v>
                </c:pt>
                <c:pt idx="898">
                  <c:v>52.47610149767123</c:v>
                </c:pt>
                <c:pt idx="899">
                  <c:v>52.476451895344532</c:v>
                </c:pt>
                <c:pt idx="900">
                  <c:v>52.476802291822835</c:v>
                </c:pt>
                <c:pt idx="901">
                  <c:v>52.477152687106205</c:v>
                </c:pt>
                <c:pt idx="902">
                  <c:v>52.477503081194527</c:v>
                </c:pt>
                <c:pt idx="903">
                  <c:v>52.477853474087802</c:v>
                </c:pt>
                <c:pt idx="904">
                  <c:v>52.47820386578605</c:v>
                </c:pt>
                <c:pt idx="905">
                  <c:v>52.4785542562892</c:v>
                </c:pt>
                <c:pt idx="906">
                  <c:v>52.478904645597282</c:v>
                </c:pt>
                <c:pt idx="907">
                  <c:v>52.479255033710267</c:v>
                </c:pt>
                <c:pt idx="908">
                  <c:v>52.479605420628097</c:v>
                </c:pt>
                <c:pt idx="909">
                  <c:v>52.479955806350794</c:v>
                </c:pt>
                <c:pt idx="910">
                  <c:v>52.480306190878302</c:v>
                </c:pt>
                <c:pt idx="911">
                  <c:v>52.480656574210606</c:v>
                </c:pt>
                <c:pt idx="912">
                  <c:v>52.481006956347741</c:v>
                </c:pt>
                <c:pt idx="913">
                  <c:v>52.481357337289587</c:v>
                </c:pt>
                <c:pt idx="914">
                  <c:v>52.481707717036237</c:v>
                </c:pt>
                <c:pt idx="915">
                  <c:v>52.482058095587554</c:v>
                </c:pt>
                <c:pt idx="916">
                  <c:v>52.482408472943632</c:v>
                </c:pt>
                <c:pt idx="917">
                  <c:v>52.482758849104336</c:v>
                </c:pt>
                <c:pt idx="918">
                  <c:v>52.483109224069729</c:v>
                </c:pt>
                <c:pt idx="919">
                  <c:v>52.483459597839769</c:v>
                </c:pt>
                <c:pt idx="920">
                  <c:v>52.48380997041442</c:v>
                </c:pt>
                <c:pt idx="921">
                  <c:v>52.484160341793675</c:v>
                </c:pt>
                <c:pt idx="922">
                  <c:v>52.484510711977499</c:v>
                </c:pt>
                <c:pt idx="923">
                  <c:v>52.484861080965892</c:v>
                </c:pt>
                <c:pt idx="924">
                  <c:v>52.485211448758804</c:v>
                </c:pt>
                <c:pt idx="925">
                  <c:v>52.485561815356263</c:v>
                </c:pt>
                <c:pt idx="926">
                  <c:v>52.485912180758177</c:v>
                </c:pt>
                <c:pt idx="927">
                  <c:v>52.48626254496461</c:v>
                </c:pt>
                <c:pt idx="928">
                  <c:v>52.486612907975498</c:v>
                </c:pt>
                <c:pt idx="929">
                  <c:v>52.486963269790799</c:v>
                </c:pt>
                <c:pt idx="930">
                  <c:v>52.487313630410519</c:v>
                </c:pt>
                <c:pt idx="931">
                  <c:v>52.487663989834672</c:v>
                </c:pt>
                <c:pt idx="932">
                  <c:v>52.488014348063139</c:v>
                </c:pt>
                <c:pt idx="933">
                  <c:v>52.488364705095989</c:v>
                </c:pt>
                <c:pt idx="934">
                  <c:v>52.488715060933181</c:v>
                </c:pt>
                <c:pt idx="935">
                  <c:v>52.489065415574665</c:v>
                </c:pt>
                <c:pt idx="936">
                  <c:v>52.489415769020475</c:v>
                </c:pt>
                <c:pt idx="937">
                  <c:v>52.489766121270492</c:v>
                </c:pt>
                <c:pt idx="938">
                  <c:v>52.490116472324814</c:v>
                </c:pt>
                <c:pt idx="939">
                  <c:v>52.49046682218335</c:v>
                </c:pt>
                <c:pt idx="940">
                  <c:v>52.490817170846078</c:v>
                </c:pt>
                <c:pt idx="941">
                  <c:v>52.491167518313034</c:v>
                </c:pt>
                <c:pt idx="942">
                  <c:v>52.491517864584154</c:v>
                </c:pt>
                <c:pt idx="943">
                  <c:v>52.491868209659401</c:v>
                </c:pt>
                <c:pt idx="944">
                  <c:v>52.492218553538784</c:v>
                </c:pt>
                <c:pt idx="945">
                  <c:v>52.492568896222274</c:v>
                </c:pt>
                <c:pt idx="946">
                  <c:v>52.492919237709856</c:v>
                </c:pt>
                <c:pt idx="947">
                  <c:v>52.493269578001524</c:v>
                </c:pt>
                <c:pt idx="948">
                  <c:v>52.493619917097199</c:v>
                </c:pt>
                <c:pt idx="949">
                  <c:v>52.493970254996917</c:v>
                </c:pt>
                <c:pt idx="950">
                  <c:v>52.494320591700593</c:v>
                </c:pt>
                <c:pt idx="951">
                  <c:v>52.494670927208311</c:v>
                </c:pt>
                <c:pt idx="952">
                  <c:v>52.495021261519952</c:v>
                </c:pt>
                <c:pt idx="953">
                  <c:v>52.495371594635579</c:v>
                </c:pt>
                <c:pt idx="954">
                  <c:v>52.495721926555085</c:v>
                </c:pt>
                <c:pt idx="955">
                  <c:v>52.496072257278506</c:v>
                </c:pt>
                <c:pt idx="956">
                  <c:v>52.496422586805828</c:v>
                </c:pt>
                <c:pt idx="957">
                  <c:v>52.496772915136994</c:v>
                </c:pt>
                <c:pt idx="958">
                  <c:v>52.497123242271996</c:v>
                </c:pt>
                <c:pt idx="959">
                  <c:v>52.497473568210822</c:v>
                </c:pt>
                <c:pt idx="960">
                  <c:v>52.497823892953456</c:v>
                </c:pt>
                <c:pt idx="961">
                  <c:v>52.498174216499848</c:v>
                </c:pt>
                <c:pt idx="962">
                  <c:v>52.498524538850006</c:v>
                </c:pt>
                <c:pt idx="963">
                  <c:v>52.498874860003887</c:v>
                </c:pt>
                <c:pt idx="964">
                  <c:v>52.499225179961499</c:v>
                </c:pt>
                <c:pt idx="965">
                  <c:v>52.499575498722812</c:v>
                </c:pt>
                <c:pt idx="966">
                  <c:v>52.499925816287792</c:v>
                </c:pt>
                <c:pt idx="967">
                  <c:v>52.500276132656424</c:v>
                </c:pt>
                <c:pt idx="968">
                  <c:v>52.500626447828687</c:v>
                </c:pt>
                <c:pt idx="969">
                  <c:v>52.50097676180458</c:v>
                </c:pt>
                <c:pt idx="970">
                  <c:v>52.501327074584061</c:v>
                </c:pt>
                <c:pt idx="971">
                  <c:v>52.501677386167131</c:v>
                </c:pt>
                <c:pt idx="972">
                  <c:v>52.502027696553739</c:v>
                </c:pt>
                <c:pt idx="973">
                  <c:v>52.502378005743871</c:v>
                </c:pt>
                <c:pt idx="974">
                  <c:v>52.502728313737542</c:v>
                </c:pt>
                <c:pt idx="975">
                  <c:v>52.503078620534652</c:v>
                </c:pt>
                <c:pt idx="976">
                  <c:v>52.503428926135264</c:v>
                </c:pt>
                <c:pt idx="977">
                  <c:v>52.50377923053933</c:v>
                </c:pt>
                <c:pt idx="978">
                  <c:v>52.504129533746841</c:v>
                </c:pt>
                <c:pt idx="979">
                  <c:v>52.504479835757714</c:v>
                </c:pt>
                <c:pt idx="980">
                  <c:v>52.504830136571989</c:v>
                </c:pt>
                <c:pt idx="981">
                  <c:v>52.505180436189647</c:v>
                </c:pt>
                <c:pt idx="982">
                  <c:v>52.505530734610623</c:v>
                </c:pt>
                <c:pt idx="983">
                  <c:v>52.505881031834939</c:v>
                </c:pt>
                <c:pt idx="984">
                  <c:v>52.506231327862558</c:v>
                </c:pt>
                <c:pt idx="985">
                  <c:v>52.506581622693481</c:v>
                </c:pt>
                <c:pt idx="986">
                  <c:v>52.506931916327638</c:v>
                </c:pt>
                <c:pt idx="987">
                  <c:v>52.507282208765048</c:v>
                </c:pt>
                <c:pt idx="988">
                  <c:v>52.507632500005691</c:v>
                </c:pt>
                <c:pt idx="989">
                  <c:v>52.507982790049525</c:v>
                </c:pt>
                <c:pt idx="990">
                  <c:v>52.508333078896548</c:v>
                </c:pt>
                <c:pt idx="991">
                  <c:v>52.508683366546741</c:v>
                </c:pt>
                <c:pt idx="992">
                  <c:v>52.509033653000074</c:v>
                </c:pt>
                <c:pt idx="993">
                  <c:v>52.509383938256498</c:v>
                </c:pt>
                <c:pt idx="994">
                  <c:v>52.509734222316034</c:v>
                </c:pt>
                <c:pt idx="995">
                  <c:v>52.510084505178696</c:v>
                </c:pt>
                <c:pt idx="996">
                  <c:v>52.510434786844364</c:v>
                </c:pt>
                <c:pt idx="997">
                  <c:v>52.510785067313094</c:v>
                </c:pt>
                <c:pt idx="998">
                  <c:v>52.511135346584837</c:v>
                </c:pt>
                <c:pt idx="999">
                  <c:v>52.511485624659556</c:v>
                </c:pt>
                <c:pt idx="1000">
                  <c:v>52.511835901537268</c:v>
                </c:pt>
              </c:numCache>
            </c:numRef>
          </c:yVal>
          <c:smooth val="0"/>
          <c:extLst>
            <c:ext xmlns:c16="http://schemas.microsoft.com/office/drawing/2014/chart" uri="{C3380CC4-5D6E-409C-BE32-E72D297353CC}">
              <c16:uniqueId val="{00000002-9438-492B-B11B-4BE6D2E63FA2}"/>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Calculs!$I$4:$I$1004</c:f>
              <c:numCache>
                <c:formatCode>0.00</c:formatCode>
                <c:ptCount val="1001"/>
                <c:pt idx="0">
                  <c:v>0</c:v>
                </c:pt>
                <c:pt idx="1">
                  <c:v>0</c:v>
                </c:pt>
                <c:pt idx="2">
                  <c:v>0.18005488752659679</c:v>
                </c:pt>
                <c:pt idx="3">
                  <c:v>0.54465942977917203</c:v>
                </c:pt>
                <c:pt idx="4">
                  <c:v>1.0939582300168984</c:v>
                </c:pt>
                <c:pt idx="5">
                  <c:v>1.8281462117394234</c:v>
                </c:pt>
                <c:pt idx="6">
                  <c:v>2.653974953203742</c:v>
                </c:pt>
                <c:pt idx="7">
                  <c:v>3.4780349717895334</c:v>
                </c:pt>
                <c:pt idx="8">
                  <c:v>4.3003197449267976</c:v>
                </c:pt>
                <c:pt idx="9">
                  <c:v>5.1208227722046589</c:v>
                </c:pt>
                <c:pt idx="10">
                  <c:v>5.9395375755417499</c:v>
                </c:pt>
                <c:pt idx="11">
                  <c:v>6.7564576993552858</c:v>
                </c:pt>
                <c:pt idx="12">
                  <c:v>7.5715767107288174</c:v>
                </c:pt>
                <c:pt idx="13">
                  <c:v>8.3848881995786364</c:v>
                </c:pt>
                <c:pt idx="14">
                  <c:v>9.1963857788188328</c:v>
                </c:pt>
                <c:pt idx="15">
                  <c:v>10.00606308452498</c:v>
                </c:pt>
                <c:pt idx="16">
                  <c:v>10.813913776096461</c:v>
                </c:pt>
                <c:pt idx="17">
                  <c:v>11.619931536417399</c:v>
                </c:pt>
                <c:pt idx="18">
                  <c:v>12.424110072016196</c:v>
                </c:pt>
                <c:pt idx="19">
                  <c:v>13.226443113223681</c:v>
                </c:pt>
                <c:pt idx="20">
                  <c:v>14.02692441432983</c:v>
                </c:pt>
                <c:pt idx="21">
                  <c:v>14.825547753739077</c:v>
                </c:pt>
                <c:pt idx="22">
                  <c:v>15.622306934124186</c:v>
                </c:pt>
                <c:pt idx="23">
                  <c:v>16.417195782578695</c:v>
                </c:pt>
                <c:pt idx="24">
                  <c:v>17.210208150767894</c:v>
                </c:pt>
                <c:pt idx="25">
                  <c:v>18.001337915078363</c:v>
                </c:pt>
                <c:pt idx="26">
                  <c:v>18.790578976766046</c:v>
                </c:pt>
                <c:pt idx="27">
                  <c:v>19.577925262102831</c:v>
                </c:pt>
                <c:pt idx="28">
                  <c:v>20.363370722521676</c:v>
                </c:pt>
                <c:pt idx="29">
                  <c:v>21.14690933476021</c:v>
                </c:pt>
                <c:pt idx="30">
                  <c:v>21.928535101002876</c:v>
                </c:pt>
                <c:pt idx="31">
                  <c:v>22.708242049021543</c:v>
                </c:pt>
                <c:pt idx="32">
                  <c:v>23.48602423231462</c:v>
                </c:pt>
                <c:pt idx="33">
                  <c:v>24.261875730244618</c:v>
                </c:pt>
                <c:pt idx="34">
                  <c:v>25.035790648174238</c:v>
                </c:pt>
                <c:pt idx="35">
                  <c:v>25.807763117600874</c:v>
                </c:pt>
                <c:pt idx="36">
                  <c:v>26.577792595905681</c:v>
                </c:pt>
                <c:pt idx="37">
                  <c:v>27.34587878927104</c:v>
                </c:pt>
                <c:pt idx="38">
                  <c:v>28.112015682077125</c:v>
                </c:pt>
                <c:pt idx="39">
                  <c:v>28.876197296585364</c:v>
                </c:pt>
                <c:pt idx="40">
                  <c:v>29.638417692174773</c:v>
                </c:pt>
                <c:pt idx="41">
                  <c:v>30.398670964701175</c:v>
                </c:pt>
                <c:pt idx="42">
                  <c:v>31.156951245929715</c:v>
                </c:pt>
                <c:pt idx="43">
                  <c:v>31.913252703031716</c:v>
                </c:pt>
                <c:pt idx="44">
                  <c:v>32.667569538138061</c:v>
                </c:pt>
                <c:pt idx="45">
                  <c:v>33.419895987942397</c:v>
                </c:pt>
                <c:pt idx="46">
                  <c:v>34.170226323348608</c:v>
                </c:pt>
                <c:pt idx="47">
                  <c:v>34.918554849157168</c:v>
                </c:pt>
                <c:pt idx="48">
                  <c:v>35.664875903786424</c:v>
                </c:pt>
                <c:pt idx="49">
                  <c:v>36.409183859024701</c:v>
                </c:pt>
                <c:pt idx="50">
                  <c:v>37.151473119810078</c:v>
                </c:pt>
                <c:pt idx="51">
                  <c:v>37.892229482076907</c:v>
                </c:pt>
                <c:pt idx="52">
                  <c:v>38.631939491502919</c:v>
                </c:pt>
                <c:pt idx="53">
                  <c:v>39.37059866061221</c:v>
                </c:pt>
                <c:pt idx="54">
                  <c:v>40.108202517705841</c:v>
                </c:pt>
                <c:pt idx="55">
                  <c:v>40.844746606754377</c:v>
                </c:pt>
                <c:pt idx="56">
                  <c:v>41.580226487304188</c:v>
                </c:pt>
                <c:pt idx="57">
                  <c:v>42.314637734396435</c:v>
                </c:pt>
                <c:pt idx="58">
                  <c:v>43.047975938497501</c:v>
                </c:pt>
                <c:pt idx="59">
                  <c:v>43.780236705439911</c:v>
                </c:pt>
                <c:pt idx="60">
                  <c:v>44.511415656372783</c:v>
                </c:pt>
                <c:pt idx="61">
                  <c:v>45.241508427721044</c:v>
                </c:pt>
                <c:pt idx="62">
                  <c:v>45.970510671152631</c:v>
                </c:pt>
                <c:pt idx="63">
                  <c:v>46.698418053552999</c:v>
                </c:pt>
                <c:pt idx="64">
                  <c:v>47.425226257006301</c:v>
                </c:pt>
                <c:pt idx="65">
                  <c:v>48.15093097878276</c:v>
                </c:pt>
                <c:pt idx="66">
                  <c:v>48.875527931331661</c:v>
                </c:pt>
                <c:pt idx="67">
                  <c:v>49.5990128422795</c:v>
                </c:pt>
                <c:pt idx="68">
                  <c:v>50.321381454432874</c:v>
                </c:pt>
                <c:pt idx="69">
                  <c:v>51.042629525785784</c:v>
                </c:pt>
                <c:pt idx="70">
                  <c:v>51.762752829530896</c:v>
                </c:pt>
                <c:pt idx="71">
                  <c:v>52.481747154074512</c:v>
                </c:pt>
                <c:pt idx="72">
                  <c:v>53.199608303054916</c:v>
                </c:pt>
                <c:pt idx="73">
                  <c:v>53.916332095363828</c:v>
                </c:pt>
                <c:pt idx="74">
                  <c:v>54.631914365170708</c:v>
                </c:pt>
                <c:pt idx="75">
                  <c:v>55.34635096194971</c:v>
                </c:pt>
                <c:pt idx="76">
                  <c:v>56.059637750509047</c:v>
                </c:pt>
                <c:pt idx="77">
                  <c:v>56.77177061102249</c:v>
                </c:pt>
                <c:pt idx="78">
                  <c:v>57.482745439062988</c:v>
                </c:pt>
                <c:pt idx="79">
                  <c:v>58.192558145638102</c:v>
                </c:pt>
                <c:pt idx="80">
                  <c:v>58.901204657227105</c:v>
                </c:pt>
                <c:pt idx="81">
                  <c:v>59.608680915819683</c:v>
                </c:pt>
                <c:pt idx="82">
                  <c:v>60.314982878956023</c:v>
                </c:pt>
                <c:pt idx="83">
                  <c:v>61.020106519768163</c:v>
                </c:pt>
                <c:pt idx="84">
                  <c:v>61.724047827022531</c:v>
                </c:pt>
                <c:pt idx="85">
                  <c:v>62.426802805163582</c:v>
                </c:pt>
                <c:pt idx="86">
                  <c:v>63.128367474358292</c:v>
                </c:pt>
                <c:pt idx="87">
                  <c:v>63.828737870541559</c:v>
                </c:pt>
                <c:pt idx="88">
                  <c:v>64.527910045462434</c:v>
                </c:pt>
                <c:pt idx="89">
                  <c:v>65.225880066730909</c:v>
                </c:pt>
                <c:pt idx="90">
                  <c:v>65.922644017865366</c:v>
                </c:pt>
                <c:pt idx="91">
                  <c:v>66.618197998340619</c:v>
                </c:pt>
                <c:pt idx="92">
                  <c:v>67.312538123636315</c:v>
                </c:pt>
                <c:pt idx="93">
                  <c:v>68.005660525285748</c:v>
                </c:pt>
                <c:pt idx="94">
                  <c:v>68.697561350925099</c:v>
                </c:pt>
                <c:pt idx="95">
                  <c:v>69.388236764342835</c:v>
                </c:pt>
                <c:pt idx="96">
                  <c:v>70.077682945529389</c:v>
                </c:pt>
                <c:pt idx="97">
                  <c:v>70.765896090726997</c:v>
                </c:pt>
                <c:pt idx="98">
                  <c:v>71.452872412479721</c:v>
                </c:pt>
                <c:pt idx="99">
                  <c:v>72.138608139683384</c:v>
                </c:pt>
                <c:pt idx="100">
                  <c:v>72.823099517635782</c:v>
                </c:pt>
                <c:pt idx="101">
                  <c:v>73.506116580343885</c:v>
                </c:pt>
                <c:pt idx="102">
                  <c:v>74.187429119129973</c:v>
                </c:pt>
                <c:pt idx="103">
                  <c:v>74.867033095304635</c:v>
                </c:pt>
                <c:pt idx="104">
                  <c:v>75.544924494046214</c:v>
                </c:pt>
                <c:pt idx="105">
                  <c:v>76.221099324442477</c:v>
                </c:pt>
                <c:pt idx="106">
                  <c:v>76.895553619531697</c:v>
                </c:pt>
                <c:pt idx="107">
                  <c:v>77.568283436343222</c:v>
                </c:pt>
                <c:pt idx="108">
                  <c:v>78.239284855937399</c:v>
                </c:pt>
                <c:pt idx="109">
                  <c:v>78.908553983444989</c:v>
                </c:pt>
                <c:pt idx="110">
                  <c:v>79.576086948105711</c:v>
                </c:pt>
                <c:pt idx="111">
                  <c:v>80.241879903306398</c:v>
                </c:pt>
                <c:pt idx="112">
                  <c:v>80.905929026618281</c:v>
                </c:pt>
                <c:pt idx="113">
                  <c:v>81.568230519833492</c:v>
                </c:pt>
                <c:pt idx="114">
                  <c:v>82.228780609001078</c:v>
                </c:pt>
                <c:pt idx="115">
                  <c:v>82.887575544461981</c:v>
                </c:pt>
                <c:pt idx="116">
                  <c:v>83.544611600883471</c:v>
                </c:pt>
                <c:pt idx="117">
                  <c:v>84.199885077292606</c:v>
                </c:pt>
                <c:pt idx="118">
                  <c:v>84.853392297109025</c:v>
                </c:pt>
                <c:pt idx="119">
                  <c:v>85.505129608176844</c:v>
                </c:pt>
                <c:pt idx="120">
                  <c:v>86.155093382795741</c:v>
                </c:pt>
                <c:pt idx="121">
                  <c:v>86.803280017751106</c:v>
                </c:pt>
                <c:pt idx="122">
                  <c:v>87.44968593434352</c:v>
                </c:pt>
                <c:pt idx="123">
                  <c:v>88.094307578417158</c:v>
                </c:pt>
                <c:pt idx="124">
                  <c:v>88.737141420387417</c:v>
                </c:pt>
                <c:pt idx="125">
                  <c:v>89.378183955267616</c:v>
                </c:pt>
                <c:pt idx="126">
                  <c:v>90.017431702694779</c:v>
                </c:pt>
                <c:pt idx="127">
                  <c:v>90.654881206954528</c:v>
                </c:pt>
                <c:pt idx="128">
                  <c:v>91.290529037005044</c:v>
                </c:pt>
                <c:pt idx="129">
                  <c:v>91.924371786500046</c:v>
                </c:pt>
                <c:pt idx="130">
                  <c:v>92.556406073810933</c:v>
                </c:pt>
                <c:pt idx="131">
                  <c:v>93.186628542047941</c:v>
                </c:pt>
                <c:pt idx="132">
                  <c:v>93.815035859080169</c:v>
                </c:pt>
                <c:pt idx="133">
                  <c:v>94.441624717555001</c:v>
                </c:pt>
                <c:pt idx="134">
                  <c:v>95.066391834916189</c:v>
                </c:pt>
                <c:pt idx="135">
                  <c:v>95.689333953421297</c:v>
                </c:pt>
                <c:pt idx="136">
                  <c:v>96.310447840157863</c:v>
                </c:pt>
                <c:pt idx="137">
                  <c:v>96.929730287058845</c:v>
                </c:pt>
                <c:pt idx="138">
                  <c:v>97.547178110916889</c:v>
                </c:pt>
                <c:pt idx="139">
                  <c:v>98.162788153397699</c:v>
                </c:pt>
                <c:pt idx="140">
                  <c:v>98.776557281052447</c:v>
                </c:pt>
                <c:pt idx="141">
                  <c:v>99.388482385329112</c:v>
                </c:pt>
                <c:pt idx="142">
                  <c:v>99.998560382582838</c:v>
                </c:pt>
                <c:pt idx="143">
                  <c:v>100.60678821408536</c:v>
                </c:pt>
                <c:pt idx="144">
                  <c:v>101.21316284603333</c:v>
                </c:pt>
                <c:pt idx="145">
                  <c:v>101.81768126955572</c:v>
                </c:pt>
                <c:pt idx="146">
                  <c:v>102.42034050072019</c:v>
                </c:pt>
                <c:pt idx="147">
                  <c:v>103.02113758053841</c:v>
                </c:pt>
                <c:pt idx="148">
                  <c:v>103.62006957497047</c:v>
                </c:pt>
                <c:pt idx="149">
                  <c:v>104.21713357492821</c:v>
                </c:pt>
                <c:pt idx="150">
                  <c:v>104.81232669627758</c:v>
                </c:pt>
                <c:pt idx="151">
                  <c:v>105.40572293396193</c:v>
                </c:pt>
                <c:pt idx="152">
                  <c:v>105.99739636868466</c:v>
                </c:pt>
                <c:pt idx="153">
                  <c:v>106.58734425565382</c:v>
                </c:pt>
                <c:pt idx="154">
                  <c:v>107.17556387263906</c:v>
                </c:pt>
                <c:pt idx="155">
                  <c:v>107.76205251997612</c:v>
                </c:pt>
                <c:pt idx="156">
                  <c:v>108.34680752057041</c:v>
                </c:pt>
                <c:pt idx="157">
                  <c:v>108.92982621989945</c:v>
                </c:pt>
                <c:pt idx="158">
                  <c:v>109.51110598601478</c:v>
                </c:pt>
                <c:pt idx="159">
                  <c:v>110.0906442095428</c:v>
                </c:pt>
                <c:pt idx="160">
                  <c:v>110.66843830368462</c:v>
                </c:pt>
                <c:pt idx="161">
                  <c:v>111.24448570421529</c:v>
                </c:pt>
                <c:pt idx="162">
                  <c:v>111.81878386948192</c:v>
                </c:pt>
                <c:pt idx="163">
                  <c:v>112.39133028040098</c:v>
                </c:pt>
                <c:pt idx="164">
                  <c:v>112.96212244045481</c:v>
                </c:pt>
                <c:pt idx="165">
                  <c:v>113.53115787568714</c:v>
                </c:pt>
                <c:pt idx="166">
                  <c:v>114.09843413469774</c:v>
                </c:pt>
                <c:pt idx="167">
                  <c:v>114.66394878863626</c:v>
                </c:pt>
                <c:pt idx="168">
                  <c:v>115.22769943119513</c:v>
                </c:pt>
                <c:pt idx="169">
                  <c:v>115.78968367860163</c:v>
                </c:pt>
                <c:pt idx="170">
                  <c:v>116.34989916960905</c:v>
                </c:pt>
                <c:pt idx="171">
                  <c:v>116.90834356548696</c:v>
                </c:pt>
                <c:pt idx="172">
                  <c:v>117.46501455001075</c:v>
                </c:pt>
                <c:pt idx="173">
                  <c:v>118.01990982945013</c:v>
                </c:pt>
                <c:pt idx="174">
                  <c:v>118.57302713255683</c:v>
                </c:pt>
                <c:pt idx="175">
                  <c:v>119.12436421055149</c:v>
                </c:pt>
                <c:pt idx="176">
                  <c:v>119.6739188371097</c:v>
                </c:pt>
                <c:pt idx="177">
                  <c:v>120.22168880834698</c:v>
                </c:pt>
                <c:pt idx="178">
                  <c:v>120.76767194280326</c:v>
                </c:pt>
                <c:pt idx="179">
                  <c:v>121.31186608142617</c:v>
                </c:pt>
                <c:pt idx="180">
                  <c:v>121.85426908755369</c:v>
                </c:pt>
                <c:pt idx="181">
                  <c:v>122.39487884689589</c:v>
                </c:pt>
                <c:pt idx="182">
                  <c:v>122.93369326751586</c:v>
                </c:pt>
                <c:pt idx="183">
                  <c:v>123.47071027980977</c:v>
                </c:pt>
                <c:pt idx="184">
                  <c:v>124.00592783648601</c:v>
                </c:pt>
                <c:pt idx="185">
                  <c:v>124.53934391254377</c:v>
                </c:pt>
                <c:pt idx="186">
                  <c:v>125.07095650525049</c:v>
                </c:pt>
                <c:pt idx="187">
                  <c:v>125.60076363411868</c:v>
                </c:pt>
                <c:pt idx="188">
                  <c:v>126.1287633408818</c:v>
                </c:pt>
                <c:pt idx="189">
                  <c:v>126.65495368946944</c:v>
                </c:pt>
                <c:pt idx="190">
                  <c:v>127.17933276598158</c:v>
                </c:pt>
                <c:pt idx="191">
                  <c:v>127.70189867866216</c:v>
                </c:pt>
                <c:pt idx="192">
                  <c:v>128.2226495578717</c:v>
                </c:pt>
                <c:pt idx="193">
                  <c:v>128.74158355605925</c:v>
                </c:pt>
                <c:pt idx="194">
                  <c:v>129.25869884773351</c:v>
                </c:pt>
                <c:pt idx="195">
                  <c:v>129.77399362943299</c:v>
                </c:pt>
                <c:pt idx="196">
                  <c:v>130.28746611969584</c:v>
                </c:pt>
                <c:pt idx="197">
                  <c:v>130.7991145590282</c:v>
                </c:pt>
                <c:pt idx="198">
                  <c:v>131.30893720987251</c:v>
                </c:pt>
                <c:pt idx="199">
                  <c:v>131.81693235657448</c:v>
                </c:pt>
                <c:pt idx="200">
                  <c:v>132.32309830534959</c:v>
                </c:pt>
                <c:pt idx="201">
                  <c:v>132.82743338424874</c:v>
                </c:pt>
                <c:pt idx="202">
                  <c:v>133.3299359431231</c:v>
                </c:pt>
                <c:pt idx="203">
                  <c:v>133.83060435358831</c:v>
                </c:pt>
                <c:pt idx="204">
                  <c:v>134.32943700898781</c:v>
                </c:pt>
                <c:pt idx="205">
                  <c:v>134.82643232435547</c:v>
                </c:pt>
                <c:pt idx="206">
                  <c:v>135.32158873637749</c:v>
                </c:pt>
                <c:pt idx="207">
                  <c:v>135.81490470335365</c:v>
                </c:pt>
                <c:pt idx="208">
                  <c:v>136.30637870515758</c:v>
                </c:pt>
                <c:pt idx="209">
                  <c:v>136.79600924319652</c:v>
                </c:pt>
                <c:pt idx="210">
                  <c:v>137.28379484037035</c:v>
                </c:pt>
                <c:pt idx="211">
                  <c:v>137.76973404102975</c:v>
                </c:pt>
                <c:pt idx="212">
                  <c:v>138.25382541093384</c:v>
                </c:pt>
                <c:pt idx="213">
                  <c:v>138.73606753720694</c:v>
                </c:pt>
                <c:pt idx="214">
                  <c:v>139.21645902829468</c:v>
                </c:pt>
                <c:pt idx="215">
                  <c:v>139.69499851391959</c:v>
                </c:pt>
                <c:pt idx="216">
                  <c:v>140.17168464503567</c:v>
                </c:pt>
                <c:pt idx="217">
                  <c:v>140.64651609378251</c:v>
                </c:pt>
                <c:pt idx="218">
                  <c:v>141.11949155343865</c:v>
                </c:pt>
                <c:pt idx="219">
                  <c:v>141.59060973837438</c:v>
                </c:pt>
                <c:pt idx="220">
                  <c:v>142.05986938400366</c:v>
                </c:pt>
                <c:pt idx="221">
                  <c:v>142.52726924673541</c:v>
                </c:pt>
                <c:pt idx="222">
                  <c:v>142.99280810392446</c:v>
                </c:pt>
                <c:pt idx="223">
                  <c:v>143.45648475382137</c:v>
                </c:pt>
                <c:pt idx="224">
                  <c:v>143.91829801552191</c:v>
                </c:pt>
                <c:pt idx="225">
                  <c:v>144.37824672891585</c:v>
                </c:pt>
                <c:pt idx="226">
                  <c:v>144.83632975463496</c:v>
                </c:pt>
                <c:pt idx="227">
                  <c:v>145.29254597400066</c:v>
                </c:pt>
                <c:pt idx="228">
                  <c:v>145.74689428897082</c:v>
                </c:pt>
                <c:pt idx="229">
                  <c:v>146.19937362208583</c:v>
                </c:pt>
                <c:pt idx="230">
                  <c:v>146.64998291641442</c:v>
                </c:pt>
                <c:pt idx="231">
                  <c:v>147.09872113549869</c:v>
                </c:pt>
                <c:pt idx="232">
                  <c:v>147.5455872632983</c:v>
                </c:pt>
                <c:pt idx="233">
                  <c:v>147.99058030413445</c:v>
                </c:pt>
                <c:pt idx="234">
                  <c:v>148.43369928263311</c:v>
                </c:pt>
                <c:pt idx="235">
                  <c:v>148.87494324366747</c:v>
                </c:pt>
                <c:pt idx="236">
                  <c:v>149.31431125230014</c:v>
                </c:pt>
                <c:pt idx="237">
                  <c:v>149.7518023937246</c:v>
                </c:pt>
                <c:pt idx="238">
                  <c:v>150.18741577320603</c:v>
                </c:pt>
                <c:pt idx="239">
                  <c:v>150.62115051602169</c:v>
                </c:pt>
                <c:pt idx="240">
                  <c:v>151.05300576740069</c:v>
                </c:pt>
                <c:pt idx="241">
                  <c:v>151.48298069246317</c:v>
                </c:pt>
                <c:pt idx="242">
                  <c:v>151.91107447615909</c:v>
                </c:pt>
                <c:pt idx="243">
                  <c:v>152.33728632320609</c:v>
                </c:pt>
                <c:pt idx="244">
                  <c:v>152.76161545802753</c:v>
                </c:pt>
                <c:pt idx="245">
                  <c:v>153.18406112468912</c:v>
                </c:pt>
                <c:pt idx="246">
                  <c:v>153.60462258683569</c:v>
                </c:pt>
                <c:pt idx="247">
                  <c:v>154.02329912762724</c:v>
                </c:pt>
                <c:pt idx="248">
                  <c:v>154.44009004967427</c:v>
                </c:pt>
                <c:pt idx="249">
                  <c:v>154.85499467497303</c:v>
                </c:pt>
                <c:pt idx="250">
                  <c:v>155.2680123448398</c:v>
                </c:pt>
                <c:pt idx="251">
                  <c:v>155.6788120139916</c:v>
                </c:pt>
                <c:pt idx="252">
                  <c:v>156.08706260268556</c:v>
                </c:pt>
                <c:pt idx="253">
                  <c:v>156.49276360005359</c:v>
                </c:pt>
                <c:pt idx="254">
                  <c:v>156.89591452308869</c:v>
                </c:pt>
                <c:pt idx="255">
                  <c:v>157.2965149165185</c:v>
                </c:pt>
                <c:pt idx="256">
                  <c:v>157.69456435267801</c:v>
                </c:pt>
                <c:pt idx="257">
                  <c:v>158.09006243138177</c:v>
                </c:pt>
                <c:pt idx="258">
                  <c:v>158.4830087797952</c:v>
                </c:pt>
                <c:pt idx="259">
                  <c:v>158.87340305230538</c:v>
                </c:pt>
                <c:pt idx="260">
                  <c:v>159.26124493039094</c:v>
                </c:pt>
                <c:pt idx="261">
                  <c:v>159.6465341224918</c:v>
                </c:pt>
                <c:pt idx="262">
                  <c:v>160.02927036387752</c:v>
                </c:pt>
                <c:pt idx="263">
                  <c:v>160.40945341651573</c:v>
                </c:pt>
                <c:pt idx="264">
                  <c:v>160.78708306893955</c:v>
                </c:pt>
                <c:pt idx="265">
                  <c:v>161.16215913611441</c:v>
                </c:pt>
                <c:pt idx="266">
                  <c:v>161.53468145930447</c:v>
                </c:pt>
                <c:pt idx="267">
                  <c:v>161.90464990593824</c:v>
                </c:pt>
                <c:pt idx="268">
                  <c:v>162.27206436947384</c:v>
                </c:pt>
                <c:pt idx="269">
                  <c:v>162.6369247692636</c:v>
                </c:pt>
                <c:pt idx="270">
                  <c:v>162.99923105041793</c:v>
                </c:pt>
                <c:pt idx="271">
                  <c:v>163.35898318366901</c:v>
                </c:pt>
                <c:pt idx="272">
                  <c:v>163.71618116523368</c:v>
                </c:pt>
                <c:pt idx="273">
                  <c:v>164.070825016676</c:v>
                </c:pt>
                <c:pt idx="274">
                  <c:v>164.42291478476912</c:v>
                </c:pt>
                <c:pt idx="275">
                  <c:v>164.77245054135673</c:v>
                </c:pt>
                <c:pt idx="276">
                  <c:v>165.11943238321425</c:v>
                </c:pt>
                <c:pt idx="277">
                  <c:v>165.46386043190915</c:v>
                </c:pt>
                <c:pt idx="278">
                  <c:v>165.80573483366112</c:v>
                </c:pt>
                <c:pt idx="279">
                  <c:v>166.1450557592018</c:v>
                </c:pt>
                <c:pt idx="280">
                  <c:v>166.48182340363374</c:v>
                </c:pt>
                <c:pt idx="281">
                  <c:v>166.81603798628939</c:v>
                </c:pt>
                <c:pt idx="282">
                  <c:v>167.14769975058937</c:v>
                </c:pt>
                <c:pt idx="283">
                  <c:v>167.47680896390045</c:v>
                </c:pt>
                <c:pt idx="284">
                  <c:v>167.80336591739319</c:v>
                </c:pt>
                <c:pt idx="285">
                  <c:v>168.12737092589904</c:v>
                </c:pt>
                <c:pt idx="286">
                  <c:v>168.44882432776728</c:v>
                </c:pt>
                <c:pt idx="287">
                  <c:v>168.76772648472141</c:v>
                </c:pt>
                <c:pt idx="288">
                  <c:v>169.08407778171539</c:v>
                </c:pt>
                <c:pt idx="289">
                  <c:v>169.39787862678932</c:v>
                </c:pt>
                <c:pt idx="290">
                  <c:v>169.70912945092502</c:v>
                </c:pt>
                <c:pt idx="291">
                  <c:v>170.01783070790123</c:v>
                </c:pt>
                <c:pt idx="292">
                  <c:v>170.32398287414833</c:v>
                </c:pt>
                <c:pt idx="293">
                  <c:v>170.6275864486031</c:v>
                </c:pt>
                <c:pt idx="294">
                  <c:v>170.92864195256288</c:v>
                </c:pt>
                <c:pt idx="295">
                  <c:v>171.22714992953973</c:v>
                </c:pt>
                <c:pt idx="296">
                  <c:v>171.5231109451141</c:v>
                </c:pt>
                <c:pt idx="297">
                  <c:v>171.81652558678843</c:v>
                </c:pt>
                <c:pt idx="298">
                  <c:v>172.10377369562534</c:v>
                </c:pt>
                <c:pt idx="299">
                  <c:v>172.38123577604608</c:v>
                </c:pt>
                <c:pt idx="300">
                  <c:v>172.64891557137133</c:v>
                </c:pt>
                <c:pt idx="301">
                  <c:v>172.90681700973522</c:v>
                </c:pt>
                <c:pt idx="302">
                  <c:v>173.15494420208222</c:v>
                </c:pt>
                <c:pt idx="303">
                  <c:v>173.39330144015824</c:v>
                </c:pt>
                <c:pt idx="304">
                  <c:v>173.62189319449678</c:v>
                </c:pt>
                <c:pt idx="305">
                  <c:v>173.84072411240047</c:v>
                </c:pt>
                <c:pt idx="306">
                  <c:v>174.0497990159181</c:v>
                </c:pt>
                <c:pt idx="307">
                  <c:v>174.24912289981748</c:v>
                </c:pt>
                <c:pt idx="308">
                  <c:v>174.43870092955481</c:v>
                </c:pt>
                <c:pt idx="309">
                  <c:v>174.61853843924041</c:v>
                </c:pt>
                <c:pt idx="310">
                  <c:v>174.78864092960146</c:v>
                </c:pt>
                <c:pt idx="311">
                  <c:v>174.94901406594192</c:v>
                </c:pt>
                <c:pt idx="312">
                  <c:v>175.09966367609994</c:v>
                </c:pt>
                <c:pt idx="313">
                  <c:v>175.24059574840319</c:v>
                </c:pt>
                <c:pt idx="314">
                  <c:v>175.37181642962227</c:v>
                </c:pt>
                <c:pt idx="315">
                  <c:v>175.4933320229226</c:v>
                </c:pt>
                <c:pt idx="316">
                  <c:v>175.60514898581502</c:v>
                </c:pt>
                <c:pt idx="317">
                  <c:v>175.70727392810548</c:v>
                </c:pt>
                <c:pt idx="318">
                  <c:v>175.79971360984405</c:v>
                </c:pt>
                <c:pt idx="319">
                  <c:v>175.88247493927344</c:v>
                </c:pt>
                <c:pt idx="320">
                  <c:v>175.95556497077769</c:v>
                </c:pt>
                <c:pt idx="321">
                  <c:v>176.020430003179</c:v>
                </c:pt>
                <c:pt idx="322">
                  <c:v>176.07851553603479</c:v>
                </c:pt>
                <c:pt idx="323">
                  <c:v>176.12982676851212</c:v>
                </c:pt>
                <c:pt idx="324">
                  <c:v>176.17436896790005</c:v>
                </c:pt>
                <c:pt idx="325">
                  <c:v>176.21214746859914</c:v>
                </c:pt>
                <c:pt idx="326">
                  <c:v>176.24316767111313</c:v>
                </c:pt>
                <c:pt idx="327">
                  <c:v>176.26743504104158</c:v>
                </c:pt>
                <c:pt idx="328">
                  <c:v>176.28495510807528</c:v>
                </c:pt>
                <c:pt idx="329">
                  <c:v>176.29573346499276</c:v>
                </c:pt>
                <c:pt idx="330">
                  <c:v>176.29977576665917</c:v>
                </c:pt>
                <c:pt idx="331">
                  <c:v>176.29708772902728</c:v>
                </c:pt>
                <c:pt idx="332">
                  <c:v>176.28767512814053</c:v>
                </c:pt>
                <c:pt idx="333">
                  <c:v>176.27154379913841</c:v>
                </c:pt>
                <c:pt idx="334">
                  <c:v>176.24869963526393</c:v>
                </c:pt>
                <c:pt idx="335">
                  <c:v>176.21914858687393</c:v>
                </c:pt>
                <c:pt idx="336">
                  <c:v>176.18289666045146</c:v>
                </c:pt>
                <c:pt idx="337">
                  <c:v>176.13994991762087</c:v>
                </c:pt>
                <c:pt idx="338">
                  <c:v>176.09031447416552</c:v>
                </c:pt>
                <c:pt idx="339">
                  <c:v>176.0339964990483</c:v>
                </c:pt>
                <c:pt idx="340">
                  <c:v>175.97100221343462</c:v>
                </c:pt>
                <c:pt idx="341">
                  <c:v>175.90133788971869</c:v>
                </c:pt>
                <c:pt idx="342">
                  <c:v>175.82500985055214</c:v>
                </c:pt>
                <c:pt idx="343">
                  <c:v>175.74202446787615</c:v>
                </c:pt>
                <c:pt idx="344">
                  <c:v>175.65238816195631</c:v>
                </c:pt>
                <c:pt idx="345">
                  <c:v>175.55610740042059</c:v>
                </c:pt>
                <c:pt idx="346">
                  <c:v>175.4531886973007</c:v>
                </c:pt>
                <c:pt idx="347">
                  <c:v>175.3436386120764</c:v>
                </c:pt>
                <c:pt idx="348">
                  <c:v>175.22761889383267</c:v>
                </c:pt>
                <c:pt idx="349">
                  <c:v>175.10529117944412</c:v>
                </c:pt>
                <c:pt idx="350">
                  <c:v>174.97666183417621</c:v>
                </c:pt>
                <c:pt idx="351">
                  <c:v>174.84173726013555</c:v>
                </c:pt>
                <c:pt idx="352">
                  <c:v>174.70052389542033</c:v>
                </c:pt>
                <c:pt idx="353">
                  <c:v>174.55302821327422</c:v>
                </c:pt>
                <c:pt idx="354">
                  <c:v>174.39925672124332</c:v>
                </c:pt>
                <c:pt idx="355">
                  <c:v>174.23921596033674</c:v>
                </c:pt>
                <c:pt idx="356">
                  <c:v>174.07291250419058</c:v>
                </c:pt>
                <c:pt idx="357">
                  <c:v>173.90035295823526</c:v>
                </c:pt>
                <c:pt idx="358">
                  <c:v>173.72154395886659</c:v>
                </c:pt>
                <c:pt idx="359">
                  <c:v>173.53649217262011</c:v>
                </c:pt>
                <c:pt idx="360">
                  <c:v>173.34843075403981</c:v>
                </c:pt>
                <c:pt idx="361">
                  <c:v>173.16058924263541</c:v>
                </c:pt>
                <c:pt idx="362">
                  <c:v>172.97296710505253</c:v>
                </c:pt>
                <c:pt idx="363">
                  <c:v>172.78556380967495</c:v>
                </c:pt>
                <c:pt idx="364">
                  <c:v>172.59837882661779</c:v>
                </c:pt>
                <c:pt idx="365">
                  <c:v>172.41141162772047</c:v>
                </c:pt>
                <c:pt idx="366">
                  <c:v>172.22466168653995</c:v>
                </c:pt>
                <c:pt idx="367">
                  <c:v>172.03812847834379</c:v>
                </c:pt>
                <c:pt idx="368">
                  <c:v>171.85181148010338</c:v>
                </c:pt>
                <c:pt idx="369">
                  <c:v>171.66571017048722</c:v>
                </c:pt>
                <c:pt idx="370">
                  <c:v>171.47982402985394</c:v>
                </c:pt>
                <c:pt idx="371">
                  <c:v>171.29415254024593</c:v>
                </c:pt>
                <c:pt idx="372">
                  <c:v>171.10869518538243</c:v>
                </c:pt>
                <c:pt idx="373">
                  <c:v>170.92345145065289</c:v>
                </c:pt>
                <c:pt idx="374">
                  <c:v>170.73842082311046</c:v>
                </c:pt>
                <c:pt idx="375">
                  <c:v>170.55360279146535</c:v>
                </c:pt>
                <c:pt idx="376">
                  <c:v>170.36899684607823</c:v>
                </c:pt>
                <c:pt idx="377">
                  <c:v>170.18460247895388</c:v>
                </c:pt>
                <c:pt idx="378">
                  <c:v>170.00041918373452</c:v>
                </c:pt>
                <c:pt idx="379">
                  <c:v>169.81644645569344</c:v>
                </c:pt>
                <c:pt idx="380">
                  <c:v>169.6326837917286</c:v>
                </c:pt>
                <c:pt idx="381">
                  <c:v>169.44913069035621</c:v>
                </c:pt>
                <c:pt idx="382">
                  <c:v>169.26578665170439</c:v>
                </c:pt>
                <c:pt idx="383">
                  <c:v>169.08265117750682</c:v>
                </c:pt>
                <c:pt idx="384">
                  <c:v>168.89972377109646</c:v>
                </c:pt>
                <c:pt idx="385">
                  <c:v>168.71700393739934</c:v>
                </c:pt>
                <c:pt idx="386">
                  <c:v>168.53449118292824</c:v>
                </c:pt>
                <c:pt idx="387">
                  <c:v>168.35218501577648</c:v>
                </c:pt>
                <c:pt idx="388">
                  <c:v>168.17008494561185</c:v>
                </c:pt>
                <c:pt idx="389">
                  <c:v>167.98819048367039</c:v>
                </c:pt>
                <c:pt idx="390">
                  <c:v>167.80650114275034</c:v>
                </c:pt>
                <c:pt idx="391">
                  <c:v>167.62501643720594</c:v>
                </c:pt>
                <c:pt idx="392">
                  <c:v>167.4437358829415</c:v>
                </c:pt>
                <c:pt idx="393">
                  <c:v>167.26265899740531</c:v>
                </c:pt>
                <c:pt idx="394">
                  <c:v>167.08178529958374</c:v>
                </c:pt>
                <c:pt idx="395">
                  <c:v>166.90111430999511</c:v>
                </c:pt>
                <c:pt idx="396">
                  <c:v>166.72064555068391</c:v>
                </c:pt>
                <c:pt idx="397">
                  <c:v>166.54037854521485</c:v>
                </c:pt>
                <c:pt idx="398">
                  <c:v>166.36031281866693</c:v>
                </c:pt>
                <c:pt idx="399">
                  <c:v>166.1804478976276</c:v>
                </c:pt>
                <c:pt idx="400">
                  <c:v>166.00078331018707</c:v>
                </c:pt>
                <c:pt idx="401">
                  <c:v>164.20629552275074</c:v>
                </c:pt>
                <c:pt idx="402">
                  <c:v>162.43163092233013</c:v>
                </c:pt>
                <c:pt idx="403">
                  <c:v>160.67633008806223</c:v>
                </c:pt>
                <c:pt idx="404">
                  <c:v>158.93994793310154</c:v>
                </c:pt>
                <c:pt idx="405">
                  <c:v>157.22205316855215</c:v>
                </c:pt>
                <c:pt idx="406">
                  <c:v>155.52222779277628</c:v>
                </c:pt>
                <c:pt idx="407">
                  <c:v>153.8400666047566</c:v>
                </c:pt>
                <c:pt idx="408">
                  <c:v>152.17517674027263</c:v>
                </c:pt>
                <c:pt idx="409">
                  <c:v>150.52717722972784</c:v>
                </c:pt>
                <c:pt idx="410">
                  <c:v>148.89569857653646</c:v>
                </c:pt>
                <c:pt idx="411">
                  <c:v>147.28038235504729</c:v>
                </c:pt>
                <c:pt idx="412">
                  <c:v>145.68088082704298</c:v>
                </c:pt>
                <c:pt idx="413">
                  <c:v>144.09685657591405</c:v>
                </c:pt>
                <c:pt idx="414">
                  <c:v>142.52798215766117</c:v>
                </c:pt>
                <c:pt idx="415">
                  <c:v>140.97393976793163</c:v>
                </c:pt>
                <c:pt idx="416">
                  <c:v>139.43442092434418</c:v>
                </c:pt>
                <c:pt idx="417">
                  <c:v>137.90912616340287</c:v>
                </c:pt>
                <c:pt idx="418">
                  <c:v>136.39776475134272</c:v>
                </c:pt>
                <c:pt idx="419">
                  <c:v>134.90005440829205</c:v>
                </c:pt>
                <c:pt idx="420">
                  <c:v>133.41572104517263</c:v>
                </c:pt>
                <c:pt idx="421">
                  <c:v>131.9444985127972</c:v>
                </c:pt>
                <c:pt idx="422">
                  <c:v>130.48612836265627</c:v>
                </c:pt>
                <c:pt idx="423">
                  <c:v>129.04035961891947</c:v>
                </c:pt>
                <c:pt idx="424">
                  <c:v>127.6069485612076</c:v>
                </c:pt>
                <c:pt idx="425">
                  <c:v>126.18565851772003</c:v>
                </c:pt>
                <c:pt idx="426">
                  <c:v>124.7762596683305</c:v>
                </c:pt>
                <c:pt idx="427">
                  <c:v>123.3785288572908</c:v>
                </c:pt>
                <c:pt idx="428">
                  <c:v>121.99224941520718</c:v>
                </c:pt>
                <c:pt idx="429">
                  <c:v>120.61721098997842</c:v>
                </c:pt>
                <c:pt idx="430">
                  <c:v>119.2532093864084</c:v>
                </c:pt>
                <c:pt idx="431">
                  <c:v>117.90004641422803</c:v>
                </c:pt>
                <c:pt idx="432">
                  <c:v>116.55752974428336</c:v>
                </c:pt>
                <c:pt idx="433">
                  <c:v>115.22547277266764</c:v>
                </c:pt>
                <c:pt idx="434">
                  <c:v>113.90369449259606</c:v>
                </c:pt>
                <c:pt idx="435">
                  <c:v>112.59201937384091</c:v>
                </c:pt>
                <c:pt idx="436">
                  <c:v>111.29027724956553</c:v>
                </c:pt>
                <c:pt idx="437">
                  <c:v>109.99830321041387</c:v>
                </c:pt>
                <c:pt idx="438">
                  <c:v>108.71593750573187</c:v>
                </c:pt>
                <c:pt idx="439">
                  <c:v>107.44302545181516</c:v>
                </c:pt>
                <c:pt idx="440">
                  <c:v>106.1794173470967</c:v>
                </c:pt>
                <c:pt idx="441">
                  <c:v>104.92496839420633</c:v>
                </c:pt>
                <c:pt idx="442">
                  <c:v>103.67953862885273</c:v>
                </c:pt>
                <c:pt idx="443">
                  <c:v>102.44299285549724</c:v>
                </c:pt>
                <c:pt idx="444">
                  <c:v>101.21520058980795</c:v>
                </c:pt>
                <c:pt idx="445">
                  <c:v>99.996036007901296</c:v>
                </c:pt>
                <c:pt idx="446">
                  <c:v>98.785377902398636</c:v>
                </c:pt>
                <c:pt idx="447">
                  <c:v>97.583109645344621</c:v>
                </c:pt>
                <c:pt idx="448">
                  <c:v>96.389119158054939</c:v>
                </c:pt>
                <c:pt idx="449">
                  <c:v>95.203298887982555</c:v>
                </c:pt>
                <c:pt idx="450">
                  <c:v>94.02554579271235</c:v>
                </c:pt>
                <c:pt idx="451">
                  <c:v>92.855761331217963</c:v>
                </c:pt>
                <c:pt idx="452">
                  <c:v>91.693851462536841</c:v>
                </c:pt>
                <c:pt idx="453">
                  <c:v>90.539726652045061</c:v>
                </c:pt>
                <c:pt idx="454">
                  <c:v>89.393301885538065</c:v>
                </c:pt>
                <c:pt idx="455">
                  <c:v>88.25449669135088</c:v>
                </c:pt>
                <c:pt idx="456">
                  <c:v>87.123235170778713</c:v>
                </c:pt>
                <c:pt idx="457">
                  <c:v>85.999446037088617</c:v>
                </c:pt>
                <c:pt idx="458">
                  <c:v>84.883062663443482</c:v>
                </c:pt>
                <c:pt idx="459">
                  <c:v>83.774023140092126</c:v>
                </c:pt>
                <c:pt idx="460">
                  <c:v>82.672270341212936</c:v>
                </c:pt>
                <c:pt idx="461">
                  <c:v>81.577752001835179</c:v>
                </c:pt>
                <c:pt idx="462">
                  <c:v>80.49042080529874</c:v>
                </c:pt>
                <c:pt idx="463">
                  <c:v>79.410234481753662</c:v>
                </c:pt>
                <c:pt idx="464">
                  <c:v>78.337155918242033</c:v>
                </c:pt>
                <c:pt idx="465">
                  <c:v>77.271153280948724</c:v>
                </c:pt>
                <c:pt idx="466">
                  <c:v>76.212200150253324</c:v>
                </c:pt>
                <c:pt idx="467">
                  <c:v>75.160275669263797</c:v>
                </c:pt>
                <c:pt idx="468">
                  <c:v>74.115364706562389</c:v>
                </c:pt>
                <c:pt idx="469">
                  <c:v>73.077458033946613</c:v>
                </c:pt>
                <c:pt idx="470">
                  <c:v>72.046552520002152</c:v>
                </c:pt>
                <c:pt idx="471">
                  <c:v>71.022651340400543</c:v>
                </c:pt>
                <c:pt idx="472">
                  <c:v>70.005764205871415</c:v>
                </c:pt>
                <c:pt idx="473">
                  <c:v>68.99590760885792</c:v>
                </c:pt>
                <c:pt idx="474">
                  <c:v>67.993105089922381</c:v>
                </c:pt>
                <c:pt idx="475">
                  <c:v>66.997387525028458</c:v>
                </c:pt>
                <c:pt idx="476">
                  <c:v>66.008793434883685</c:v>
                </c:pt>
                <c:pt idx="477">
                  <c:v>65.027369317582341</c:v>
                </c:pt>
                <c:pt idx="478">
                  <c:v>64.053170005840855</c:v>
                </c:pt>
                <c:pt idx="479">
                  <c:v>63.086259050166021</c:v>
                </c:pt>
                <c:pt idx="480">
                  <c:v>62.126709129336142</c:v>
                </c:pt>
                <c:pt idx="481">
                  <c:v>61.174602489606634</c:v>
                </c:pt>
                <c:pt idx="482">
                  <c:v>60.230031414070005</c:v>
                </c:pt>
                <c:pt idx="483">
                  <c:v>59.293098723602071</c:v>
                </c:pt>
                <c:pt idx="484">
                  <c:v>58.363918310808103</c:v>
                </c:pt>
                <c:pt idx="485">
                  <c:v>57.442615708338231</c:v>
                </c:pt>
                <c:pt idx="486">
                  <c:v>56.529328692864986</c:v>
                </c:pt>
                <c:pt idx="487">
                  <c:v>55.624207925899988</c:v>
                </c:pt>
                <c:pt idx="488">
                  <c:v>54.727417632462583</c:v>
                </c:pt>
                <c:pt idx="489">
                  <c:v>53.839136318390729</c:v>
                </c:pt>
                <c:pt idx="490">
                  <c:v>52.959557526791428</c:v>
                </c:pt>
                <c:pt idx="491">
                  <c:v>52.08889063375112</c:v>
                </c:pt>
                <c:pt idx="492">
                  <c:v>51.227361682949656</c:v>
                </c:pt>
                <c:pt idx="493">
                  <c:v>50.375214258227032</c:v>
                </c:pt>
                <c:pt idx="494">
                  <c:v>49.53271039241929</c:v>
                </c:pt>
                <c:pt idx="495">
                  <c:v>48.700131509886951</c:v>
                </c:pt>
                <c:pt idx="496">
                  <c:v>47.87777939908004</c:v>
                </c:pt>
                <c:pt idx="497">
                  <c:v>47.065977210192223</c:v>
                </c:pt>
                <c:pt idx="498">
                  <c:v>46.265070471423194</c:v>
                </c:pt>
                <c:pt idx="499">
                  <c:v>45.475428115563503</c:v>
                </c:pt>
                <c:pt idx="500">
                  <c:v>44.697443506509401</c:v>
                </c:pt>
                <c:pt idx="501">
                  <c:v>43.931535452879217</c:v>
                </c:pt>
                <c:pt idx="502">
                  <c:v>43.178149193110478</c:v>
                </c:pt>
                <c:pt idx="503">
                  <c:v>42.437757333251398</c:v>
                </c:pt>
                <c:pt idx="504">
                  <c:v>41.710860715111011</c:v>
                </c:pt>
                <c:pt idx="505">
                  <c:v>40.997989188504619</c:v>
                </c:pt>
                <c:pt idx="506">
                  <c:v>40.299702257050896</c:v>
                </c:pt>
                <c:pt idx="507">
                  <c:v>39.616589562394729</c:v>
                </c:pt>
                <c:pt idx="508">
                  <c:v>38.949271166932526</c:v>
                </c:pt>
                <c:pt idx="509">
                  <c:v>38.298397590232668</c:v>
                </c:pt>
                <c:pt idx="510">
                  <c:v>37.664649549554049</c:v>
                </c:pt>
                <c:pt idx="511">
                  <c:v>37.048737350412303</c:v>
                </c:pt>
                <c:pt idx="512">
                  <c:v>36.451399869335759</c:v>
                </c:pt>
                <c:pt idx="513">
                  <c:v>35.873403068175591</c:v>
                </c:pt>
                <c:pt idx="514">
                  <c:v>35.315537978043096</c:v>
                </c:pt>
                <c:pt idx="515">
                  <c:v>34.778618091666402</c:v>
                </c:pt>
                <c:pt idx="516">
                  <c:v>34.263476106263717</c:v>
                </c:pt>
                <c:pt idx="517">
                  <c:v>33.770959965518735</c:v>
                </c:pt>
                <c:pt idx="518">
                  <c:v>33.301928159495681</c:v>
                </c:pt>
                <c:pt idx="519">
                  <c:v>32.857244255847185</c:v>
                </c:pt>
                <c:pt idx="520">
                  <c:v>32.437770654801028</c:v>
                </c:pt>
                <c:pt idx="521">
                  <c:v>32.044361584276558</c:v>
                </c:pt>
                <c:pt idx="522">
                  <c:v>31.677855379869353</c:v>
                </c:pt>
                <c:pt idx="523">
                  <c:v>31.33906612673173</c:v>
                </c:pt>
                <c:pt idx="524">
                  <c:v>31.02877477546464</c:v>
                </c:pt>
                <c:pt idx="525">
                  <c:v>30.747719880412074</c:v>
                </c:pt>
                <c:pt idx="526">
                  <c:v>30.496588144108507</c:v>
                </c:pt>
                <c:pt idx="527">
                  <c:v>30.276004983570296</c:v>
                </c:pt>
                <c:pt idx="528">
                  <c:v>30.086525359901938</c:v>
                </c:pt>
                <c:pt idx="529">
                  <c:v>29.928625129568903</c:v>
                </c:pt>
                <c:pt idx="530">
                  <c:v>29.802693181222626</c:v>
                </c:pt>
                <c:pt idx="531">
                  <c:v>29.709024614314032</c:v>
                </c:pt>
                <c:pt idx="532">
                  <c:v>29.647815193966849</c:v>
                </c:pt>
                <c:pt idx="533">
                  <c:v>29.619157280899955</c:v>
                </c:pt>
                <c:pt idx="534">
                  <c:v>29.623037387023896</c:v>
                </c:pt>
                <c:pt idx="535">
                  <c:v>29.659335449320889</c:v>
                </c:pt>
                <c:pt idx="536">
                  <c:v>29.727825850372767</c:v>
                </c:pt>
                <c:pt idx="537">
                  <c:v>29.828180147697125</c:v>
                </c:pt>
                <c:pt idx="538">
                  <c:v>29.959971410368389</c:v>
                </c:pt>
                <c:pt idx="539">
                  <c:v>30.122680004454583</c:v>
                </c:pt>
                <c:pt idx="540">
                  <c:v>30.315700622113958</c:v>
                </c:pt>
                <c:pt idx="541">
                  <c:v>30.538350315266591</c:v>
                </c:pt>
                <c:pt idx="542">
                  <c:v>30.789877274871948</c:v>
                </c:pt>
                <c:pt idx="543">
                  <c:v>31.069470091055965</c:v>
                </c:pt>
                <c:pt idx="544">
                  <c:v>31.376267236580684</c:v>
                </c:pt>
                <c:pt idx="545">
                  <c:v>31.709366534499377</c:v>
                </c:pt>
                <c:pt idx="546">
                  <c:v>32.06783439777881</c:v>
                </c:pt>
                <c:pt idx="547">
                  <c:v>32.450714661429963</c:v>
                </c:pt>
                <c:pt idx="548">
                  <c:v>32.85703686353142</c:v>
                </c:pt>
                <c:pt idx="549">
                  <c:v>33.285823867981094</c:v>
                </c:pt>
                <c:pt idx="550">
                  <c:v>33.736098756815736</c:v>
                </c:pt>
                <c:pt idx="551">
                  <c:v>34.206890951937304</c:v>
                </c:pt>
                <c:pt idx="552">
                  <c:v>34.697241554036616</c:v>
                </c:pt>
                <c:pt idx="553">
                  <c:v>35.206207909842774</c:v>
                </c:pt>
                <c:pt idx="554">
                  <c:v>35.732867437388201</c:v>
                </c:pt>
                <c:pt idx="555">
                  <c:v>36.276320752920689</c:v>
                </c:pt>
                <c:pt idx="556">
                  <c:v>36.835694152796194</c:v>
                </c:pt>
                <c:pt idx="557">
                  <c:v>37.410141509671739</c:v>
                </c:pt>
                <c:pt idx="558">
                  <c:v>37.99884564517852</c:v>
                </c:pt>
                <c:pt idx="559">
                  <c:v>38.601019241593889</c:v>
                </c:pt>
                <c:pt idx="560">
                  <c:v>39.215905353425057</c:v>
                </c:pt>
                <c:pt idx="561">
                  <c:v>39.842777576785906</c:v>
                </c:pt>
                <c:pt idx="562">
                  <c:v>40.480939930445032</c:v>
                </c:pt>
                <c:pt idx="563">
                  <c:v>41.129726497822602</c:v>
                </c:pt>
                <c:pt idx="564">
                  <c:v>41.788500874320633</c:v>
                </c:pt>
                <c:pt idx="565">
                  <c:v>42.456655459418791</c:v>
                </c:pt>
                <c:pt idx="566">
                  <c:v>43.133610628131031</c:v>
                </c:pt>
                <c:pt idx="567">
                  <c:v>43.818813811819616</c:v>
                </c:pt>
                <c:pt idx="568">
                  <c:v>44.511738514083113</c:v>
                </c:pt>
                <c:pt idx="569">
                  <c:v>45.211883283521047</c:v>
                </c:pt>
                <c:pt idx="570">
                  <c:v>45.918770661651237</c:v>
                </c:pt>
                <c:pt idx="571">
                  <c:v>46.631946121118361</c:v>
                </c:pt>
                <c:pt idx="572">
                  <c:v>47.350977006573181</c:v>
                </c:pt>
                <c:pt idx="573">
                  <c:v>48.075451488198937</c:v>
                </c:pt>
                <c:pt idx="574">
                  <c:v>48.804977535789895</c:v>
                </c:pt>
                <c:pt idx="575">
                  <c:v>49.539181919515578</c:v>
                </c:pt>
                <c:pt idx="576">
                  <c:v>50.277709242003382</c:v>
                </c:pt>
                <c:pt idx="577">
                  <c:v>51.020221005111217</c:v>
                </c:pt>
                <c:pt idx="578">
                  <c:v>51.766394713710959</c:v>
                </c:pt>
                <c:pt idx="579">
                  <c:v>52.515923017936629</c:v>
                </c:pt>
                <c:pt idx="580">
                  <c:v>53.268512894642043</c:v>
                </c:pt>
                <c:pt idx="581">
                  <c:v>54.023884868239804</c:v>
                </c:pt>
                <c:pt idx="582">
                  <c:v>54.781772270635933</c:v>
                </c:pt>
                <c:pt idx="583">
                  <c:v>55.541920539614395</c:v>
                </c:pt>
                <c:pt idx="584">
                  <c:v>56.304086554748153</c:v>
                </c:pt>
                <c:pt idx="585">
                  <c:v>57.06803800970382</c:v>
                </c:pt>
                <c:pt idx="586">
                  <c:v>57.833552819654564</c:v>
                </c:pt>
                <c:pt idx="587">
                  <c:v>58.600418562409963</c:v>
                </c:pt>
                <c:pt idx="588">
                  <c:v>59.368431951803636</c:v>
                </c:pt>
                <c:pt idx="589">
                  <c:v>60.137398341842641</c:v>
                </c:pt>
                <c:pt idx="590">
                  <c:v>60.907131260110468</c:v>
                </c:pt>
                <c:pt idx="591">
                  <c:v>61.677451968922917</c:v>
                </c:pt>
                <c:pt idx="592">
                  <c:v>62.448189052758735</c:v>
                </c:pt>
                <c:pt idx="593">
                  <c:v>63.219178030521718</c:v>
                </c:pt>
                <c:pt idx="594">
                  <c:v>63.990260991233889</c:v>
                </c:pt>
                <c:pt idx="595">
                  <c:v>64.761286251809437</c:v>
                </c:pt>
                <c:pt idx="596">
                  <c:v>65.532108035613106</c:v>
                </c:pt>
                <c:pt idx="597">
                  <c:v>66.302586170563416</c:v>
                </c:pt>
                <c:pt idx="598">
                  <c:v>67.072585805600198</c:v>
                </c:pt>
                <c:pt idx="599">
                  <c:v>67.841977144394434</c:v>
                </c:pt>
                <c:pt idx="600">
                  <c:v>68.610635195237265</c:v>
                </c:pt>
                <c:pt idx="601">
                  <c:v>69.37843953610296</c:v>
                </c:pt>
                <c:pt idx="602">
                  <c:v>70.145274093937203</c:v>
                </c:pt>
                <c:pt idx="603">
                  <c:v>70.911026937276318</c:v>
                </c:pt>
                <c:pt idx="604">
                  <c:v>71.675590081356233</c:v>
                </c:pt>
                <c:pt idx="605">
                  <c:v>72.438859304920385</c:v>
                </c:pt>
                <c:pt idx="606">
                  <c:v>73.20073397798393</c:v>
                </c:pt>
                <c:pt idx="607">
                  <c:v>73.961116899857743</c:v>
                </c:pt>
                <c:pt idx="608">
                  <c:v>74.719914146778933</c:v>
                </c:pt>
                <c:pt idx="609">
                  <c:v>75.477034928536412</c:v>
                </c:pt>
                <c:pt idx="610">
                  <c:v>76.232391453518403</c:v>
                </c:pt>
                <c:pt idx="611">
                  <c:v>76.985898801645831</c:v>
                </c:pt>
                <c:pt idx="612">
                  <c:v>77.737474804689953</c:v>
                </c:pt>
                <c:pt idx="613">
                  <c:v>78.487039933505045</c:v>
                </c:pt>
                <c:pt idx="614">
                  <c:v>79.23451719173741</c:v>
                </c:pt>
                <c:pt idx="615">
                  <c:v>79.979832015600536</c:v>
                </c:pt>
                <c:pt idx="616">
                  <c:v>80.722912179332937</c:v>
                </c:pt>
                <c:pt idx="617">
                  <c:v>81.463687705980234</c:v>
                </c:pt>
                <c:pt idx="618">
                  <c:v>82.20209078316654</c:v>
                </c:pt>
                <c:pt idx="619">
                  <c:v>82.938055683541819</c:v>
                </c:pt>
                <c:pt idx="620">
                  <c:v>83.671518689612725</c:v>
                </c:pt>
                <c:pt idx="621">
                  <c:v>84.402418022683094</c:v>
                </c:pt>
                <c:pt idx="622">
                  <c:v>85.130693775648524</c:v>
                </c:pt>
                <c:pt idx="623">
                  <c:v>85.856287849405604</c:v>
                </c:pt>
                <c:pt idx="624">
                  <c:v>86.579143892652425</c:v>
                </c:pt>
                <c:pt idx="625">
                  <c:v>87.299207244871113</c:v>
                </c:pt>
                <c:pt idx="626">
                  <c:v>88.016424882296675</c:v>
                </c:pt>
                <c:pt idx="627">
                  <c:v>88.730745366689391</c:v>
                </c:pt>
                <c:pt idx="628">
                  <c:v>89.442118796739265</c:v>
                </c:pt>
                <c:pt idx="629">
                  <c:v>90.150496761942435</c:v>
                </c:pt>
                <c:pt idx="630">
                  <c:v>90.855832298799484</c:v>
                </c:pt>
                <c:pt idx="631">
                  <c:v>91.558079849195209</c:v>
                </c:pt>
                <c:pt idx="632">
                  <c:v>92.257195220828265</c:v>
                </c:pt>
                <c:pt idx="633">
                  <c:v>92.953135549567619</c:v>
                </c:pt>
                <c:pt idx="634">
                  <c:v>93.645859263620267</c:v>
                </c:pt>
                <c:pt idx="635">
                  <c:v>94.335326049402042</c:v>
                </c:pt>
                <c:pt idx="636">
                  <c:v>95.021496819010338</c:v>
                </c:pt>
                <c:pt idx="637">
                  <c:v>95.704333679203287</c:v>
                </c:pt>
                <c:pt idx="638">
                  <c:v>96.383799901796749</c:v>
                </c:pt>
                <c:pt idx="639">
                  <c:v>97.059859895395022</c:v>
                </c:pt>
                <c:pt idx="640">
                  <c:v>97.732479178377289</c:v>
                </c:pt>
                <c:pt idx="641">
                  <c:v>98.401624353065685</c:v>
                </c:pt>
                <c:pt idx="642">
                  <c:v>99.067263081006388</c:v>
                </c:pt>
                <c:pt idx="643">
                  <c:v>99.729364059298476</c:v>
                </c:pt>
                <c:pt idx="644">
                  <c:v>100.38789699790979</c:v>
                </c:pt>
                <c:pt idx="645">
                  <c:v>101.04283259792261</c:v>
                </c:pt>
                <c:pt idx="646">
                  <c:v>101.69414253065531</c:v>
                </c:pt>
                <c:pt idx="647">
                  <c:v>102.34179941760939</c:v>
                </c:pt>
                <c:pt idx="648">
                  <c:v>102.9857768111948</c:v>
                </c:pt>
                <c:pt idx="649">
                  <c:v>103.62604917618827</c:v>
                </c:pt>
                <c:pt idx="650">
                  <c:v>104.26259187188342</c:v>
                </c:pt>
                <c:pt idx="651">
                  <c:v>104.89538113489247</c:v>
                </c:pt>
                <c:pt idx="652">
                  <c:v>105.52439406256313</c:v>
                </c:pt>
                <c:pt idx="653">
                  <c:v>106.14960859697516</c:v>
                </c:pt>
                <c:pt idx="654">
                  <c:v>106.77100350948406</c:v>
                </c:pt>
                <c:pt idx="655">
                  <c:v>107.388558385781</c:v>
                </c:pt>
                <c:pt idx="656">
                  <c:v>108.00225361143978</c:v>
                </c:pt>
                <c:pt idx="657">
                  <c:v>108.6120703579234</c:v>
                </c:pt>
                <c:pt idx="658">
                  <c:v>109.21799056902465</c:v>
                </c:pt>
                <c:pt idx="659">
                  <c:v>109.81999694771638</c:v>
                </c:pt>
                <c:pt idx="660">
                  <c:v>110.41807294338831</c:v>
                </c:pt>
                <c:pt idx="661">
                  <c:v>111.01220273944952</c:v>
                </c:pt>
                <c:pt idx="662">
                  <c:v>111.60237124127573</c:v>
                </c:pt>
                <c:pt idx="663">
                  <c:v>112.18856406448251</c:v>
                </c:pt>
                <c:pt idx="664">
                  <c:v>112.77076752350665</c:v>
                </c:pt>
                <c:pt idx="665">
                  <c:v>113.34896862047857</c:v>
                </c:pt>
                <c:pt idx="666">
                  <c:v>113.9231550343698</c:v>
                </c:pt>
                <c:pt idx="667">
                  <c:v>114.49331511040066</c:v>
                </c:pt>
                <c:pt idx="668">
                  <c:v>115.05943784969398</c:v>
                </c:pt>
                <c:pt idx="669">
                  <c:v>115.62151289916162</c:v>
                </c:pt>
                <c:pt idx="670">
                  <c:v>116.17953054161092</c:v>
                </c:pt>
                <c:pt idx="671">
                  <c:v>116.73348168605986</c:v>
                </c:pt>
                <c:pt idx="672">
                  <c:v>117.28335785824937</c:v>
                </c:pt>
                <c:pt idx="673">
                  <c:v>117.82915119134248</c:v>
                </c:pt>
                <c:pt idx="674">
                  <c:v>118.37085441680048</c:v>
                </c:pt>
                <c:pt idx="675">
                  <c:v>118.90846085542691</c:v>
                </c:pt>
                <c:pt idx="676">
                  <c:v>119.44196440857056</c:v>
                </c:pt>
                <c:pt idx="677">
                  <c:v>119.97135954947923</c:v>
                </c:pt>
                <c:pt idx="678">
                  <c:v>120.4966413147968</c:v>
                </c:pt>
                <c:pt idx="679">
                  <c:v>121.01780529619614</c:v>
                </c:pt>
                <c:pt idx="680">
                  <c:v>121.53484763214107</c:v>
                </c:pt>
                <c:pt idx="681">
                  <c:v>122.04776499977115</c:v>
                </c:pt>
                <c:pt idx="682">
                  <c:v>122.55655460690305</c:v>
                </c:pt>
                <c:pt idx="683">
                  <c:v>123.06121418414308</c:v>
                </c:pt>
                <c:pt idx="684">
                  <c:v>123.56174197710547</c:v>
                </c:pt>
                <c:pt idx="685">
                  <c:v>124.05813673873135</c:v>
                </c:pt>
                <c:pt idx="686">
                  <c:v>124.55039772170409</c:v>
                </c:pt>
                <c:pt idx="687">
                  <c:v>125.03852467095621</c:v>
                </c:pt>
                <c:pt idx="688">
                  <c:v>125.52251781626417</c:v>
                </c:pt>
                <c:pt idx="689">
                  <c:v>126.00237786492694</c:v>
                </c:pt>
                <c:pt idx="690">
                  <c:v>126.47810599452495</c:v>
                </c:pt>
                <c:pt idx="691">
                  <c:v>126.94970384575591</c:v>
                </c:pt>
                <c:pt idx="692">
                  <c:v>127.4171735153445</c:v>
                </c:pt>
                <c:pt idx="693">
                  <c:v>127.88051754902317</c:v>
                </c:pt>
                <c:pt idx="694">
                  <c:v>128.33973893458082</c:v>
                </c:pt>
                <c:pt idx="695">
                  <c:v>128.79484109497756</c:v>
                </c:pt>
                <c:pt idx="696">
                  <c:v>129.24582788152239</c:v>
                </c:pt>
                <c:pt idx="697">
                  <c:v>129.6927035671124</c:v>
                </c:pt>
                <c:pt idx="698">
                  <c:v>130.13547283953096</c:v>
                </c:pt>
                <c:pt idx="699">
                  <c:v>130.57414079480293</c:v>
                </c:pt>
                <c:pt idx="700">
                  <c:v>131.00871293060581</c:v>
                </c:pt>
                <c:pt idx="701">
                  <c:v>131.43919513973458</c:v>
                </c:pt>
                <c:pt idx="702">
                  <c:v>131.86559370361866</c:v>
                </c:pt>
                <c:pt idx="703">
                  <c:v>132.28791528589045</c:v>
                </c:pt>
                <c:pt idx="704">
                  <c:v>132.70616692600336</c:v>
                </c:pt>
                <c:pt idx="705">
                  <c:v>133.12035603289854</c:v>
                </c:pt>
                <c:pt idx="706">
                  <c:v>133.53049037871907</c:v>
                </c:pt>
                <c:pt idx="707">
                  <c:v>133.93657809257127</c:v>
                </c:pt>
                <c:pt idx="708">
                  <c:v>134.33862765433113</c:v>
                </c:pt>
                <c:pt idx="709">
                  <c:v>134.73664788849629</c:v>
                </c:pt>
                <c:pt idx="710">
                  <c:v>135.13064795808182</c:v>
                </c:pt>
                <c:pt idx="711">
                  <c:v>135.52063735856021</c:v>
                </c:pt>
                <c:pt idx="712">
                  <c:v>135.90662591184372</c:v>
                </c:pt>
                <c:pt idx="713">
                  <c:v>136.28862376031006</c:v>
                </c:pt>
                <c:pt idx="714">
                  <c:v>136.66664136086962</c:v>
                </c:pt>
                <c:pt idx="715">
                  <c:v>137.04068947907456</c:v>
                </c:pt>
                <c:pt idx="716">
                  <c:v>137.41077918326965</c:v>
                </c:pt>
                <c:pt idx="717">
                  <c:v>137.41114526121788</c:v>
                </c:pt>
                <c:pt idx="718">
                  <c:v>137.4115113352436</c:v>
                </c:pt>
                <c:pt idx="719">
                  <c:v>137.41187740534679</c:v>
                </c:pt>
                <c:pt idx="720">
                  <c:v>137.41224347152749</c:v>
                </c:pt>
                <c:pt idx="721">
                  <c:v>137.41260953378566</c:v>
                </c:pt>
                <c:pt idx="722">
                  <c:v>137.4129755921214</c:v>
                </c:pt>
                <c:pt idx="723">
                  <c:v>137.41334164653466</c:v>
                </c:pt>
                <c:pt idx="724">
                  <c:v>137.41370769702544</c:v>
                </c:pt>
                <c:pt idx="725">
                  <c:v>137.4140737435938</c:v>
                </c:pt>
                <c:pt idx="726">
                  <c:v>137.41443978623974</c:v>
                </c:pt>
                <c:pt idx="727">
                  <c:v>137.41480582496322</c:v>
                </c:pt>
                <c:pt idx="728">
                  <c:v>137.41517185976431</c:v>
                </c:pt>
                <c:pt idx="729">
                  <c:v>137.41553789064301</c:v>
                </c:pt>
                <c:pt idx="730">
                  <c:v>137.41590391759934</c:v>
                </c:pt>
                <c:pt idx="731">
                  <c:v>137.41626994063324</c:v>
                </c:pt>
                <c:pt idx="732">
                  <c:v>137.41663595974481</c:v>
                </c:pt>
                <c:pt idx="733">
                  <c:v>137.41700197493404</c:v>
                </c:pt>
                <c:pt idx="734">
                  <c:v>137.4173679862009</c:v>
                </c:pt>
                <c:pt idx="735">
                  <c:v>137.41773399354543</c:v>
                </c:pt>
                <c:pt idx="736">
                  <c:v>137.41809999696767</c:v>
                </c:pt>
                <c:pt idx="737">
                  <c:v>137.4184659964676</c:v>
                </c:pt>
                <c:pt idx="738">
                  <c:v>137.41883199204526</c:v>
                </c:pt>
                <c:pt idx="739">
                  <c:v>137.41919798370057</c:v>
                </c:pt>
                <c:pt idx="740">
                  <c:v>137.41956397143366</c:v>
                </c:pt>
                <c:pt idx="741">
                  <c:v>137.41992995524447</c:v>
                </c:pt>
                <c:pt idx="742">
                  <c:v>137.42029593513303</c:v>
                </c:pt>
                <c:pt idx="743">
                  <c:v>137.42066191109939</c:v>
                </c:pt>
                <c:pt idx="744">
                  <c:v>137.42102788314349</c:v>
                </c:pt>
                <c:pt idx="745">
                  <c:v>137.42139385126538</c:v>
                </c:pt>
                <c:pt idx="746">
                  <c:v>137.42175981546507</c:v>
                </c:pt>
                <c:pt idx="747">
                  <c:v>137.42212577574259</c:v>
                </c:pt>
                <c:pt idx="748">
                  <c:v>137.42249173209788</c:v>
                </c:pt>
                <c:pt idx="749">
                  <c:v>137.42285768453104</c:v>
                </c:pt>
                <c:pt idx="750">
                  <c:v>137.42322363304206</c:v>
                </c:pt>
                <c:pt idx="751">
                  <c:v>137.42358957763091</c:v>
                </c:pt>
                <c:pt idx="752">
                  <c:v>137.42395551829765</c:v>
                </c:pt>
                <c:pt idx="753">
                  <c:v>137.42432145504225</c:v>
                </c:pt>
                <c:pt idx="754">
                  <c:v>137.42468738786474</c:v>
                </c:pt>
                <c:pt idx="755">
                  <c:v>137.42505331676514</c:v>
                </c:pt>
                <c:pt idx="756">
                  <c:v>137.42541924174347</c:v>
                </c:pt>
                <c:pt idx="757">
                  <c:v>137.42578516279968</c:v>
                </c:pt>
                <c:pt idx="758">
                  <c:v>137.42615107993387</c:v>
                </c:pt>
                <c:pt idx="759">
                  <c:v>137.42651699314601</c:v>
                </c:pt>
                <c:pt idx="760">
                  <c:v>137.42688290243609</c:v>
                </c:pt>
                <c:pt idx="761">
                  <c:v>137.42724880780415</c:v>
                </c:pt>
                <c:pt idx="762">
                  <c:v>137.42761470925024</c:v>
                </c:pt>
                <c:pt idx="763">
                  <c:v>137.42798060677427</c:v>
                </c:pt>
                <c:pt idx="764">
                  <c:v>137.42834650037631</c:v>
                </c:pt>
                <c:pt idx="765">
                  <c:v>137.42871239005635</c:v>
                </c:pt>
                <c:pt idx="766">
                  <c:v>137.42907827581445</c:v>
                </c:pt>
                <c:pt idx="767">
                  <c:v>137.42944415765061</c:v>
                </c:pt>
                <c:pt idx="768">
                  <c:v>137.4298100355648</c:v>
                </c:pt>
                <c:pt idx="769">
                  <c:v>137.43017590955708</c:v>
                </c:pt>
                <c:pt idx="770">
                  <c:v>137.43054177962742</c:v>
                </c:pt>
                <c:pt idx="771">
                  <c:v>137.43090764577585</c:v>
                </c:pt>
                <c:pt idx="772">
                  <c:v>137.43127350800236</c:v>
                </c:pt>
                <c:pt idx="773">
                  <c:v>137.431639366307</c:v>
                </c:pt>
                <c:pt idx="774">
                  <c:v>137.43200522068975</c:v>
                </c:pt>
                <c:pt idx="775">
                  <c:v>137.43237107115067</c:v>
                </c:pt>
                <c:pt idx="776">
                  <c:v>137.43273691768971</c:v>
                </c:pt>
                <c:pt idx="777">
                  <c:v>137.43310276030692</c:v>
                </c:pt>
                <c:pt idx="778">
                  <c:v>137.43346859900228</c:v>
                </c:pt>
                <c:pt idx="779">
                  <c:v>137.43383443377584</c:v>
                </c:pt>
                <c:pt idx="780">
                  <c:v>137.43420026462761</c:v>
                </c:pt>
                <c:pt idx="781">
                  <c:v>137.43456609155754</c:v>
                </c:pt>
                <c:pt idx="782">
                  <c:v>137.43493191456568</c:v>
                </c:pt>
                <c:pt idx="783">
                  <c:v>137.43529773365211</c:v>
                </c:pt>
                <c:pt idx="784">
                  <c:v>137.43566354881673</c:v>
                </c:pt>
                <c:pt idx="785">
                  <c:v>137.43602936005962</c:v>
                </c:pt>
                <c:pt idx="786">
                  <c:v>137.43639516738077</c:v>
                </c:pt>
                <c:pt idx="787">
                  <c:v>137.4367609707802</c:v>
                </c:pt>
                <c:pt idx="788">
                  <c:v>137.43712677025792</c:v>
                </c:pt>
                <c:pt idx="789">
                  <c:v>137.4374925658139</c:v>
                </c:pt>
                <c:pt idx="790">
                  <c:v>137.43785835744825</c:v>
                </c:pt>
                <c:pt idx="791">
                  <c:v>137.43822414516086</c:v>
                </c:pt>
                <c:pt idx="792">
                  <c:v>137.43858992895181</c:v>
                </c:pt>
                <c:pt idx="793">
                  <c:v>137.43895570882114</c:v>
                </c:pt>
                <c:pt idx="794">
                  <c:v>137.43932148476881</c:v>
                </c:pt>
                <c:pt idx="795">
                  <c:v>137.43968725679485</c:v>
                </c:pt>
                <c:pt idx="796">
                  <c:v>137.44005302489927</c:v>
                </c:pt>
                <c:pt idx="797">
                  <c:v>137.44041878908209</c:v>
                </c:pt>
                <c:pt idx="798">
                  <c:v>137.44078454934331</c:v>
                </c:pt>
                <c:pt idx="799">
                  <c:v>137.4411503056829</c:v>
                </c:pt>
                <c:pt idx="800">
                  <c:v>137.44151605810094</c:v>
                </c:pt>
                <c:pt idx="801">
                  <c:v>137.44188180659742</c:v>
                </c:pt>
                <c:pt idx="802">
                  <c:v>137.44224755117233</c:v>
                </c:pt>
                <c:pt idx="803">
                  <c:v>137.44261329182572</c:v>
                </c:pt>
                <c:pt idx="804">
                  <c:v>137.44297902855757</c:v>
                </c:pt>
                <c:pt idx="805">
                  <c:v>137.44334476136794</c:v>
                </c:pt>
                <c:pt idx="806">
                  <c:v>137.44371049025676</c:v>
                </c:pt>
                <c:pt idx="807">
                  <c:v>137.44407621522413</c:v>
                </c:pt>
                <c:pt idx="808">
                  <c:v>137.44444193627001</c:v>
                </c:pt>
                <c:pt idx="809">
                  <c:v>137.44480765339441</c:v>
                </c:pt>
                <c:pt idx="810">
                  <c:v>137.44517336659732</c:v>
                </c:pt>
                <c:pt idx="811">
                  <c:v>137.44553907587883</c:v>
                </c:pt>
                <c:pt idx="812">
                  <c:v>137.44590478123888</c:v>
                </c:pt>
                <c:pt idx="813">
                  <c:v>137.44627048267748</c:v>
                </c:pt>
                <c:pt idx="814">
                  <c:v>137.4466361801947</c:v>
                </c:pt>
                <c:pt idx="815">
                  <c:v>137.4470018737905</c:v>
                </c:pt>
                <c:pt idx="816">
                  <c:v>137.44736756346492</c:v>
                </c:pt>
                <c:pt idx="817">
                  <c:v>137.44773324921798</c:v>
                </c:pt>
                <c:pt idx="818">
                  <c:v>137.44809893104966</c:v>
                </c:pt>
                <c:pt idx="819">
                  <c:v>137.44846460895999</c:v>
                </c:pt>
                <c:pt idx="820">
                  <c:v>137.44883028294899</c:v>
                </c:pt>
                <c:pt idx="821">
                  <c:v>137.44919595301667</c:v>
                </c:pt>
                <c:pt idx="822">
                  <c:v>137.44956161916298</c:v>
                </c:pt>
                <c:pt idx="823">
                  <c:v>137.44992728138803</c:v>
                </c:pt>
                <c:pt idx="824">
                  <c:v>137.45029293969174</c:v>
                </c:pt>
                <c:pt idx="825">
                  <c:v>137.45065859407418</c:v>
                </c:pt>
                <c:pt idx="826">
                  <c:v>137.45102424453538</c:v>
                </c:pt>
                <c:pt idx="827">
                  <c:v>137.45138989107531</c:v>
                </c:pt>
                <c:pt idx="828">
                  <c:v>137.45175553369396</c:v>
                </c:pt>
                <c:pt idx="829">
                  <c:v>137.45212117239137</c:v>
                </c:pt>
                <c:pt idx="830">
                  <c:v>137.45248680716756</c:v>
                </c:pt>
                <c:pt idx="831">
                  <c:v>137.45285243802257</c:v>
                </c:pt>
                <c:pt idx="832">
                  <c:v>137.45321806495633</c:v>
                </c:pt>
                <c:pt idx="833">
                  <c:v>137.45358368796892</c:v>
                </c:pt>
                <c:pt idx="834">
                  <c:v>137.45394930706033</c:v>
                </c:pt>
                <c:pt idx="835">
                  <c:v>137.45431492223057</c:v>
                </c:pt>
                <c:pt idx="836">
                  <c:v>137.45468053347966</c:v>
                </c:pt>
                <c:pt idx="837">
                  <c:v>137.45504614080758</c:v>
                </c:pt>
                <c:pt idx="838">
                  <c:v>137.45541174421439</c:v>
                </c:pt>
                <c:pt idx="839">
                  <c:v>137.45577734370008</c:v>
                </c:pt>
                <c:pt idx="840">
                  <c:v>137.45614293926465</c:v>
                </c:pt>
                <c:pt idx="841">
                  <c:v>137.45650853090811</c:v>
                </c:pt>
                <c:pt idx="842">
                  <c:v>137.45687411863051</c:v>
                </c:pt>
                <c:pt idx="843">
                  <c:v>137.45723970243179</c:v>
                </c:pt>
                <c:pt idx="844">
                  <c:v>137.45760528231204</c:v>
                </c:pt>
                <c:pt idx="845">
                  <c:v>137.45797085827127</c:v>
                </c:pt>
                <c:pt idx="846">
                  <c:v>137.4583364303094</c:v>
                </c:pt>
                <c:pt idx="847">
                  <c:v>137.45870199842656</c:v>
                </c:pt>
                <c:pt idx="848">
                  <c:v>137.45906756262264</c:v>
                </c:pt>
                <c:pt idx="849">
                  <c:v>137.45943312289774</c:v>
                </c:pt>
                <c:pt idx="850">
                  <c:v>137.45979867925183</c:v>
                </c:pt>
                <c:pt idx="851">
                  <c:v>137.46016423168496</c:v>
                </c:pt>
                <c:pt idx="852">
                  <c:v>137.46052978019713</c:v>
                </c:pt>
                <c:pt idx="853">
                  <c:v>137.46089532478828</c:v>
                </c:pt>
                <c:pt idx="854">
                  <c:v>137.46126086545854</c:v>
                </c:pt>
                <c:pt idx="855">
                  <c:v>137.46162640220788</c:v>
                </c:pt>
                <c:pt idx="856">
                  <c:v>137.46199193503625</c:v>
                </c:pt>
                <c:pt idx="857">
                  <c:v>137.46235746394376</c:v>
                </c:pt>
                <c:pt idx="858">
                  <c:v>137.46272298893032</c:v>
                </c:pt>
                <c:pt idx="859">
                  <c:v>137.463088509996</c:v>
                </c:pt>
                <c:pt idx="860">
                  <c:v>137.46345402714081</c:v>
                </c:pt>
                <c:pt idx="861">
                  <c:v>137.46381954036477</c:v>
                </c:pt>
                <c:pt idx="862">
                  <c:v>137.46418504966786</c:v>
                </c:pt>
                <c:pt idx="863">
                  <c:v>137.46455055505012</c:v>
                </c:pt>
                <c:pt idx="864">
                  <c:v>137.46491605651153</c:v>
                </c:pt>
                <c:pt idx="865">
                  <c:v>137.46528155405213</c:v>
                </c:pt>
                <c:pt idx="866">
                  <c:v>137.46564704767192</c:v>
                </c:pt>
                <c:pt idx="867">
                  <c:v>137.46601253737089</c:v>
                </c:pt>
                <c:pt idx="868">
                  <c:v>137.46637802314913</c:v>
                </c:pt>
                <c:pt idx="869">
                  <c:v>137.46674350500652</c:v>
                </c:pt>
                <c:pt idx="870">
                  <c:v>137.46710898294319</c:v>
                </c:pt>
                <c:pt idx="871">
                  <c:v>137.46747445695911</c:v>
                </c:pt>
                <c:pt idx="872">
                  <c:v>137.46783992705429</c:v>
                </c:pt>
                <c:pt idx="873">
                  <c:v>137.46820539322874</c:v>
                </c:pt>
                <c:pt idx="874">
                  <c:v>137.46857085548245</c:v>
                </c:pt>
                <c:pt idx="875">
                  <c:v>137.4689363138155</c:v>
                </c:pt>
                <c:pt idx="876">
                  <c:v>137.46930176822787</c:v>
                </c:pt>
                <c:pt idx="877">
                  <c:v>137.46966721871951</c:v>
                </c:pt>
                <c:pt idx="878">
                  <c:v>137.47003266529049</c:v>
                </c:pt>
                <c:pt idx="879">
                  <c:v>137.47039810794084</c:v>
                </c:pt>
                <c:pt idx="880">
                  <c:v>137.47076354667053</c:v>
                </c:pt>
                <c:pt idx="881">
                  <c:v>137.47112898147958</c:v>
                </c:pt>
                <c:pt idx="882">
                  <c:v>137.47149441236803</c:v>
                </c:pt>
                <c:pt idx="883">
                  <c:v>137.47185983933585</c:v>
                </c:pt>
                <c:pt idx="884">
                  <c:v>137.47222526238306</c:v>
                </c:pt>
                <c:pt idx="885">
                  <c:v>137.4725906815097</c:v>
                </c:pt>
                <c:pt idx="886">
                  <c:v>137.47295609671576</c:v>
                </c:pt>
                <c:pt idx="887">
                  <c:v>137.47332150800128</c:v>
                </c:pt>
                <c:pt idx="888">
                  <c:v>137.47368691536622</c:v>
                </c:pt>
                <c:pt idx="889">
                  <c:v>137.47405231881061</c:v>
                </c:pt>
                <c:pt idx="890">
                  <c:v>137.47441771833451</c:v>
                </c:pt>
                <c:pt idx="891">
                  <c:v>137.47478311393783</c:v>
                </c:pt>
                <c:pt idx="892">
                  <c:v>137.47514850562069</c:v>
                </c:pt>
                <c:pt idx="893">
                  <c:v>137.47551389338307</c:v>
                </c:pt>
                <c:pt idx="894">
                  <c:v>137.47587927722495</c:v>
                </c:pt>
                <c:pt idx="895">
                  <c:v>137.47624465714637</c:v>
                </c:pt>
                <c:pt idx="896">
                  <c:v>137.47661003314732</c:v>
                </c:pt>
                <c:pt idx="897">
                  <c:v>137.47697540522782</c:v>
                </c:pt>
                <c:pt idx="898">
                  <c:v>137.47734077338785</c:v>
                </c:pt>
                <c:pt idx="899">
                  <c:v>137.47770613762751</c:v>
                </c:pt>
                <c:pt idx="900">
                  <c:v>137.47807149794673</c:v>
                </c:pt>
                <c:pt idx="901">
                  <c:v>137.47843685434557</c:v>
                </c:pt>
                <c:pt idx="902">
                  <c:v>137.47880220682401</c:v>
                </c:pt>
                <c:pt idx="903">
                  <c:v>137.47916755538205</c:v>
                </c:pt>
                <c:pt idx="904">
                  <c:v>137.47953290001976</c:v>
                </c:pt>
                <c:pt idx="905">
                  <c:v>137.47989824073707</c:v>
                </c:pt>
                <c:pt idx="906">
                  <c:v>137.48026357753406</c:v>
                </c:pt>
                <c:pt idx="907">
                  <c:v>137.48062891041073</c:v>
                </c:pt>
                <c:pt idx="908">
                  <c:v>137.48099423936708</c:v>
                </c:pt>
                <c:pt idx="909">
                  <c:v>137.48135956440311</c:v>
                </c:pt>
                <c:pt idx="910">
                  <c:v>137.48172488551884</c:v>
                </c:pt>
                <c:pt idx="911">
                  <c:v>137.48209020271429</c:v>
                </c:pt>
                <c:pt idx="912">
                  <c:v>137.4824555159895</c:v>
                </c:pt>
                <c:pt idx="913">
                  <c:v>137.48282082534442</c:v>
                </c:pt>
                <c:pt idx="914">
                  <c:v>137.4831861307791</c:v>
                </c:pt>
                <c:pt idx="915">
                  <c:v>137.48355143229352</c:v>
                </c:pt>
                <c:pt idx="916">
                  <c:v>137.48391672988777</c:v>
                </c:pt>
                <c:pt idx="917">
                  <c:v>137.48428202356175</c:v>
                </c:pt>
                <c:pt idx="918">
                  <c:v>137.48464731331555</c:v>
                </c:pt>
                <c:pt idx="919">
                  <c:v>137.48501259914914</c:v>
                </c:pt>
                <c:pt idx="920">
                  <c:v>137.48537788106259</c:v>
                </c:pt>
                <c:pt idx="921">
                  <c:v>137.48574315905583</c:v>
                </c:pt>
                <c:pt idx="922">
                  <c:v>137.48610843312892</c:v>
                </c:pt>
                <c:pt idx="923">
                  <c:v>137.48647370328186</c:v>
                </c:pt>
                <c:pt idx="924">
                  <c:v>137.48683896951468</c:v>
                </c:pt>
                <c:pt idx="925">
                  <c:v>137.48720423182735</c:v>
                </c:pt>
                <c:pt idx="926">
                  <c:v>137.48756949021993</c:v>
                </c:pt>
                <c:pt idx="927">
                  <c:v>137.48793474469241</c:v>
                </c:pt>
                <c:pt idx="928">
                  <c:v>137.48829999524483</c:v>
                </c:pt>
                <c:pt idx="929">
                  <c:v>137.48866524187713</c:v>
                </c:pt>
                <c:pt idx="930">
                  <c:v>137.48903048458939</c:v>
                </c:pt>
                <c:pt idx="931">
                  <c:v>137.48939572338162</c:v>
                </c:pt>
                <c:pt idx="932">
                  <c:v>137.48976095825375</c:v>
                </c:pt>
                <c:pt idx="933">
                  <c:v>137.49012618920591</c:v>
                </c:pt>
                <c:pt idx="934">
                  <c:v>137.49049141623803</c:v>
                </c:pt>
                <c:pt idx="935">
                  <c:v>137.49085663935014</c:v>
                </c:pt>
                <c:pt idx="936">
                  <c:v>137.49122185854227</c:v>
                </c:pt>
                <c:pt idx="937">
                  <c:v>137.4915870738144</c:v>
                </c:pt>
                <c:pt idx="938">
                  <c:v>137.49195228516658</c:v>
                </c:pt>
                <c:pt idx="939">
                  <c:v>137.49231749259877</c:v>
                </c:pt>
                <c:pt idx="940">
                  <c:v>137.49268269611102</c:v>
                </c:pt>
                <c:pt idx="941">
                  <c:v>137.49304789570337</c:v>
                </c:pt>
                <c:pt idx="942">
                  <c:v>137.49341309137577</c:v>
                </c:pt>
                <c:pt idx="943">
                  <c:v>137.49377828312828</c:v>
                </c:pt>
                <c:pt idx="944">
                  <c:v>137.49414347096086</c:v>
                </c:pt>
                <c:pt idx="945">
                  <c:v>137.49450865487358</c:v>
                </c:pt>
                <c:pt idx="946">
                  <c:v>137.49487383486641</c:v>
                </c:pt>
                <c:pt idx="947">
                  <c:v>137.4952390109394</c:v>
                </c:pt>
                <c:pt idx="948">
                  <c:v>137.4956041830925</c:v>
                </c:pt>
                <c:pt idx="949">
                  <c:v>137.49596935132575</c:v>
                </c:pt>
                <c:pt idx="950">
                  <c:v>137.49633451563918</c:v>
                </c:pt>
                <c:pt idx="951">
                  <c:v>137.49669967603279</c:v>
                </c:pt>
                <c:pt idx="952">
                  <c:v>137.4970648325066</c:v>
                </c:pt>
                <c:pt idx="953">
                  <c:v>137.49742998506062</c:v>
                </c:pt>
                <c:pt idx="954">
                  <c:v>137.49779513369484</c:v>
                </c:pt>
                <c:pt idx="955">
                  <c:v>137.4981602784093</c:v>
                </c:pt>
                <c:pt idx="956">
                  <c:v>137.49852541920401</c:v>
                </c:pt>
                <c:pt idx="957">
                  <c:v>137.49889055607895</c:v>
                </c:pt>
                <c:pt idx="958">
                  <c:v>137.49925568903416</c:v>
                </c:pt>
                <c:pt idx="959">
                  <c:v>137.49962081806964</c:v>
                </c:pt>
                <c:pt idx="960">
                  <c:v>137.49998594318541</c:v>
                </c:pt>
                <c:pt idx="961">
                  <c:v>137.50035106438148</c:v>
                </c:pt>
                <c:pt idx="962">
                  <c:v>137.50071618165785</c:v>
                </c:pt>
                <c:pt idx="963">
                  <c:v>137.50108129501456</c:v>
                </c:pt>
                <c:pt idx="964">
                  <c:v>137.50144640445157</c:v>
                </c:pt>
                <c:pt idx="965">
                  <c:v>137.50181150996895</c:v>
                </c:pt>
                <c:pt idx="966">
                  <c:v>137.50217661156668</c:v>
                </c:pt>
                <c:pt idx="967">
                  <c:v>137.50254170924478</c:v>
                </c:pt>
                <c:pt idx="968">
                  <c:v>137.50290680300324</c:v>
                </c:pt>
                <c:pt idx="969">
                  <c:v>137.50327189284212</c:v>
                </c:pt>
                <c:pt idx="970">
                  <c:v>137.50363697876139</c:v>
                </c:pt>
                <c:pt idx="971">
                  <c:v>137.50400206076111</c:v>
                </c:pt>
                <c:pt idx="972">
                  <c:v>137.50436713884122</c:v>
                </c:pt>
                <c:pt idx="973">
                  <c:v>137.50473221300177</c:v>
                </c:pt>
                <c:pt idx="974">
                  <c:v>137.5050972832428</c:v>
                </c:pt>
                <c:pt idx="975">
                  <c:v>137.50546234956425</c:v>
                </c:pt>
                <c:pt idx="976">
                  <c:v>137.50582741196618</c:v>
                </c:pt>
                <c:pt idx="977">
                  <c:v>137.50619247044861</c:v>
                </c:pt>
                <c:pt idx="978">
                  <c:v>137.50655752501154</c:v>
                </c:pt>
                <c:pt idx="979">
                  <c:v>137.50692257565495</c:v>
                </c:pt>
                <c:pt idx="980">
                  <c:v>137.5072876223789</c:v>
                </c:pt>
                <c:pt idx="981">
                  <c:v>137.50765266518337</c:v>
                </c:pt>
                <c:pt idx="982">
                  <c:v>137.50801770406838</c:v>
                </c:pt>
                <c:pt idx="983">
                  <c:v>137.50838273903395</c:v>
                </c:pt>
                <c:pt idx="984">
                  <c:v>137.50874777008008</c:v>
                </c:pt>
                <c:pt idx="985">
                  <c:v>137.5091127972068</c:v>
                </c:pt>
                <c:pt idx="986">
                  <c:v>137.50947782041408</c:v>
                </c:pt>
                <c:pt idx="987">
                  <c:v>137.50984283970197</c:v>
                </c:pt>
                <c:pt idx="988">
                  <c:v>137.51020785507049</c:v>
                </c:pt>
                <c:pt idx="989">
                  <c:v>137.51057286651962</c:v>
                </c:pt>
                <c:pt idx="990">
                  <c:v>137.5109378740494</c:v>
                </c:pt>
                <c:pt idx="991">
                  <c:v>137.51130287765983</c:v>
                </c:pt>
                <c:pt idx="992">
                  <c:v>137.51166787735093</c:v>
                </c:pt>
                <c:pt idx="993">
                  <c:v>137.51203287312265</c:v>
                </c:pt>
                <c:pt idx="994">
                  <c:v>137.51239786497507</c:v>
                </c:pt>
                <c:pt idx="995">
                  <c:v>137.51276285290822</c:v>
                </c:pt>
                <c:pt idx="996">
                  <c:v>137.51312783692205</c:v>
                </c:pt>
                <c:pt idx="997">
                  <c:v>137.51349281701661</c:v>
                </c:pt>
                <c:pt idx="998">
                  <c:v>137.5138577931919</c:v>
                </c:pt>
                <c:pt idx="999">
                  <c:v>137.5142227654479</c:v>
                </c:pt>
                <c:pt idx="1000">
                  <c:v>137.51458773378468</c:v>
                </c:pt>
              </c:numCache>
            </c:numRef>
          </c:yVal>
          <c:smooth val="0"/>
          <c:extLst>
            <c:ext xmlns:c16="http://schemas.microsoft.com/office/drawing/2014/chart" uri="{C3380CC4-5D6E-409C-BE32-E72D297353CC}">
              <c16:uniqueId val="{00000000-8FE2-4032-A578-D47C8150DB2C}"/>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Calculs!$AG$4:$AG$1004</c:f>
              <c:numCache>
                <c:formatCode>0.00</c:formatCode>
                <c:ptCount val="1001"/>
                <c:pt idx="0">
                  <c:v>0</c:v>
                </c:pt>
                <c:pt idx="1">
                  <c:v>0</c:v>
                </c:pt>
                <c:pt idx="2">
                  <c:v>18.005488751106206</c:v>
                </c:pt>
                <c:pt idx="3">
                  <c:v>36.46045422315801</c:v>
                </c:pt>
                <c:pt idx="4">
                  <c:v>54.929880021029142</c:v>
                </c:pt>
                <c:pt idx="5">
                  <c:v>73.418798168845569</c:v>
                </c:pt>
                <c:pt idx="6">
                  <c:v>82.582874142685114</c:v>
                </c:pt>
                <c:pt idx="7">
                  <c:v>82.406001854829768</c:v>
                </c:pt>
                <c:pt idx="8">
                  <c:v>82.228477309979581</c:v>
                </c:pt>
                <c:pt idx="9">
                  <c:v>82.050302724043632</c:v>
                </c:pt>
                <c:pt idx="10">
                  <c:v>81.871480329971661</c:v>
                </c:pt>
                <c:pt idx="11">
                  <c:v>81.692012377621751</c:v>
                </c:pt>
                <c:pt idx="12">
                  <c:v>81.511901133627106</c:v>
                </c:pt>
                <c:pt idx="13">
                  <c:v>81.331148881261811</c:v>
                </c:pt>
                <c:pt idx="14">
                  <c:v>81.14975792030539</c:v>
                </c:pt>
                <c:pt idx="15">
                  <c:v>80.967730566906596</c:v>
                </c:pt>
                <c:pt idx="16">
                  <c:v>80.785069153445988</c:v>
                </c:pt>
                <c:pt idx="17">
                  <c:v>80.601776028397637</c:v>
                </c:pt>
                <c:pt idx="18">
                  <c:v>80.417853556189769</c:v>
                </c:pt>
                <c:pt idx="19">
                  <c:v>80.233304117064648</c:v>
                </c:pt>
                <c:pt idx="20">
                  <c:v>80.048130106937194</c:v>
                </c:pt>
                <c:pt idx="21">
                  <c:v>79.862333937253084</c:v>
                </c:pt>
                <c:pt idx="22">
                  <c:v>79.675918034845495</c:v>
                </c:pt>
                <c:pt idx="23">
                  <c:v>79.488884841791389</c:v>
                </c:pt>
                <c:pt idx="24">
                  <c:v>79.301236815266535</c:v>
                </c:pt>
                <c:pt idx="25">
                  <c:v>79.112976427399957</c:v>
                </c:pt>
                <c:pt idx="26">
                  <c:v>78.924106165127341</c:v>
                </c:pt>
                <c:pt idx="27">
                  <c:v>78.73462853004375</c:v>
                </c:pt>
                <c:pt idx="28">
                  <c:v>78.544546038255362</c:v>
                </c:pt>
                <c:pt idx="29">
                  <c:v>78.353861220230485</c:v>
                </c:pt>
                <c:pt idx="30">
                  <c:v>78.162576620649929</c:v>
                </c:pt>
                <c:pt idx="31">
                  <c:v>77.970694798256375</c:v>
                </c:pt>
                <c:pt idx="32">
                  <c:v>77.778218325703023</c:v>
                </c:pt>
                <c:pt idx="33">
                  <c:v>77.585149789401612</c:v>
                </c:pt>
                <c:pt idx="34">
                  <c:v>77.391491789369695</c:v>
                </c:pt>
                <c:pt idx="35">
                  <c:v>77.197246939077161</c:v>
                </c:pt>
                <c:pt idx="36">
                  <c:v>77.002417865291989</c:v>
                </c:pt>
                <c:pt idx="37">
                  <c:v>76.808084941916277</c:v>
                </c:pt>
                <c:pt idx="38">
                  <c:v>76.61316577098043</c:v>
                </c:pt>
                <c:pt idx="39">
                  <c:v>76.417648287385362</c:v>
                </c:pt>
                <c:pt idx="40">
                  <c:v>76.221536242957029</c:v>
                </c:pt>
                <c:pt idx="41">
                  <c:v>76.024833321493134</c:v>
                </c:pt>
                <c:pt idx="42">
                  <c:v>75.827543146575181</c:v>
                </c:pt>
                <c:pt idx="43">
                  <c:v>75.629669288409275</c:v>
                </c:pt>
                <c:pt idx="44">
                  <c:v>75.431215269834595</c:v>
                </c:pt>
                <c:pt idx="45">
                  <c:v>75.232184571616585</c:v>
                </c:pt>
                <c:pt idx="46">
                  <c:v>75.032580637122294</c:v>
                </c:pt>
                <c:pt idx="47">
                  <c:v>74.832406876460695</c:v>
                </c:pt>
                <c:pt idx="48">
                  <c:v>74.631666670157898</c:v>
                </c:pt>
                <c:pt idx="49">
                  <c:v>74.4303633724261</c:v>
                </c:pt>
                <c:pt idx="50">
                  <c:v>74.228500314077749</c:v>
                </c:pt>
                <c:pt idx="51">
                  <c:v>74.075216614783216</c:v>
                </c:pt>
                <c:pt idx="52">
                  <c:v>73.970587267122056</c:v>
                </c:pt>
                <c:pt idx="53">
                  <c:v>73.865508967266436</c:v>
                </c:pt>
                <c:pt idx="54">
                  <c:v>73.759983303629781</c:v>
                </c:pt>
                <c:pt idx="55">
                  <c:v>73.654011853123322</c:v>
                </c:pt>
                <c:pt idx="56">
                  <c:v>73.547596182607833</c:v>
                </c:pt>
                <c:pt idx="57">
                  <c:v>73.44073785021321</c:v>
                </c:pt>
                <c:pt idx="58">
                  <c:v>73.3334384065395</c:v>
                </c:pt>
                <c:pt idx="59">
                  <c:v>73.225699395751249</c:v>
                </c:pt>
                <c:pt idx="60">
                  <c:v>73.117522356576131</c:v>
                </c:pt>
                <c:pt idx="61">
                  <c:v>73.008908823216942</c:v>
                </c:pt>
                <c:pt idx="62">
                  <c:v>72.899860326185362</c:v>
                </c:pt>
                <c:pt idx="63">
                  <c:v>72.790378393065097</c:v>
                </c:pt>
                <c:pt idx="64">
                  <c:v>72.680464549210569</c:v>
                </c:pt>
                <c:pt idx="65">
                  <c:v>72.570120318387495</c:v>
                </c:pt>
                <c:pt idx="66">
                  <c:v>72.459347223360169</c:v>
                </c:pt>
                <c:pt idx="67">
                  <c:v>72.348146786430576</c:v>
                </c:pt>
                <c:pt idx="68">
                  <c:v>72.236520529933159</c:v>
                </c:pt>
                <c:pt idx="69">
                  <c:v>72.124469976689312</c:v>
                </c:pt>
                <c:pt idx="70">
                  <c:v>72.011996650424834</c:v>
                </c:pt>
                <c:pt idx="71">
                  <c:v>71.899102076153625</c:v>
                </c:pt>
                <c:pt idx="72">
                  <c:v>71.7857877805301</c:v>
                </c:pt>
                <c:pt idx="73">
                  <c:v>71.672055292173027</c:v>
                </c:pt>
                <c:pt idx="74">
                  <c:v>71.557906141963258</c:v>
                </c:pt>
                <c:pt idx="75">
                  <c:v>71.443341863316761</c:v>
                </c:pt>
                <c:pt idx="76">
                  <c:v>71.328363992435825</c:v>
                </c:pt>
                <c:pt idx="77">
                  <c:v>71.212974068538983</c:v>
                </c:pt>
                <c:pt idx="78">
                  <c:v>71.097173634072306</c:v>
                </c:pt>
                <c:pt idx="79">
                  <c:v>70.980964234902615</c:v>
                </c:pt>
                <c:pt idx="80">
                  <c:v>70.864347420494482</c:v>
                </c:pt>
                <c:pt idx="81">
                  <c:v>70.74732474407196</c:v>
                </c:pt>
                <c:pt idx="82">
                  <c:v>70.629897762765992</c:v>
                </c:pt>
                <c:pt idx="83">
                  <c:v>70.512068037748989</c:v>
                </c:pt>
                <c:pt idx="84">
                  <c:v>70.393837134356602</c:v>
                </c:pt>
                <c:pt idx="85">
                  <c:v>70.275206622198766</c:v>
                </c:pt>
                <c:pt idx="86">
                  <c:v>70.156178075259476</c:v>
                </c:pt>
                <c:pt idx="87">
                  <c:v>70.03675307198705</c:v>
                </c:pt>
                <c:pt idx="88">
                  <c:v>69.916933195374753</c:v>
                </c:pt>
                <c:pt idx="89">
                  <c:v>69.796720033033012</c:v>
                </c:pt>
                <c:pt idx="90">
                  <c:v>69.676115177253422</c:v>
                </c:pt>
                <c:pt idx="91">
                  <c:v>69.555120225064996</c:v>
                </c:pt>
                <c:pt idx="92">
                  <c:v>69.433736778283489</c:v>
                </c:pt>
                <c:pt idx="93">
                  <c:v>69.311966443553715</c:v>
                </c:pt>
                <c:pt idx="94">
                  <c:v>69.189810832386058</c:v>
                </c:pt>
                <c:pt idx="95">
                  <c:v>69.067271561186516</c:v>
                </c:pt>
                <c:pt idx="96">
                  <c:v>68.944350251281506</c:v>
                </c:pt>
                <c:pt idx="97">
                  <c:v>68.821048528937467</c:v>
                </c:pt>
                <c:pt idx="98">
                  <c:v>68.697368025375269</c:v>
                </c:pt>
                <c:pt idx="99">
                  <c:v>68.573310376780341</c:v>
                </c:pt>
                <c:pt idx="100">
                  <c:v>68.448877224307978</c:v>
                </c:pt>
                <c:pt idx="101">
                  <c:v>68.301447439012094</c:v>
                </c:pt>
                <c:pt idx="102">
                  <c:v>68.130996752562496</c:v>
                </c:pt>
                <c:pt idx="103">
                  <c:v>67.960142164721233</c:v>
                </c:pt>
                <c:pt idx="104">
                  <c:v>67.788886063156085</c:v>
                </c:pt>
                <c:pt idx="105">
                  <c:v>67.617230839666391</c:v>
                </c:pt>
                <c:pt idx="106">
                  <c:v>67.445178890131217</c:v>
                </c:pt>
                <c:pt idx="107">
                  <c:v>67.272732614454355</c:v>
                </c:pt>
                <c:pt idx="108">
                  <c:v>67.099894416506174</c:v>
                </c:pt>
                <c:pt idx="109">
                  <c:v>66.926666704062796</c:v>
                </c:pt>
                <c:pt idx="110">
                  <c:v>66.753051888742618</c:v>
                </c:pt>
                <c:pt idx="111">
                  <c:v>66.57905238594013</c:v>
                </c:pt>
                <c:pt idx="112">
                  <c:v>66.404670614757705</c:v>
                </c:pt>
                <c:pt idx="113">
                  <c:v>66.229908997934814</c:v>
                </c:pt>
                <c:pt idx="114">
                  <c:v>66.054769961775392</c:v>
                </c:pt>
                <c:pt idx="115">
                  <c:v>65.879255936073164</c:v>
                </c:pt>
                <c:pt idx="116">
                  <c:v>65.703369354035061</c:v>
                </c:pt>
                <c:pt idx="117">
                  <c:v>65.527112652202902</c:v>
                </c:pt>
                <c:pt idx="118">
                  <c:v>65.350488270373447</c:v>
                </c:pt>
                <c:pt idx="119">
                  <c:v>65.173498651516894</c:v>
                </c:pt>
                <c:pt idx="120">
                  <c:v>64.99614624169385</c:v>
                </c:pt>
                <c:pt idx="121">
                  <c:v>64.818433489970985</c:v>
                </c:pt>
                <c:pt idx="122">
                  <c:v>64.6403628483354</c:v>
                </c:pt>
                <c:pt idx="123">
                  <c:v>64.461936771607682</c:v>
                </c:pt>
                <c:pt idx="124">
                  <c:v>64.283157717353859</c:v>
                </c:pt>
                <c:pt idx="125">
                  <c:v>64.104028145796363</c:v>
                </c:pt>
                <c:pt idx="126">
                  <c:v>63.924550519723809</c:v>
                </c:pt>
                <c:pt idx="127">
                  <c:v>63.744727304400001</c:v>
                </c:pt>
                <c:pt idx="128">
                  <c:v>63.564560967471891</c:v>
                </c:pt>
                <c:pt idx="129">
                  <c:v>63.384053978876807</c:v>
                </c:pt>
                <c:pt idx="130">
                  <c:v>63.203208810748933</c:v>
                </c:pt>
                <c:pt idx="131">
                  <c:v>63.022027937324893</c:v>
                </c:pt>
                <c:pt idx="132">
                  <c:v>62.840513834848899</c:v>
                </c:pt>
                <c:pt idx="133">
                  <c:v>62.658668981477078</c:v>
                </c:pt>
                <c:pt idx="134">
                  <c:v>62.47649585718132</c:v>
                </c:pt>
                <c:pt idx="135">
                  <c:v>62.29399694365253</c:v>
                </c:pt>
                <c:pt idx="136">
                  <c:v>62.111174724203408</c:v>
                </c:pt>
                <c:pt idx="137">
                  <c:v>61.928031683670852</c:v>
                </c:pt>
                <c:pt idx="138">
                  <c:v>61.744570308317734</c:v>
                </c:pt>
                <c:pt idx="139">
                  <c:v>61.560793085734538</c:v>
                </c:pt>
                <c:pt idx="140">
                  <c:v>61.376702504740507</c:v>
                </c:pt>
                <c:pt idx="141">
                  <c:v>61.192301055284517</c:v>
                </c:pt>
                <c:pt idx="142">
                  <c:v>61.007591228345618</c:v>
                </c:pt>
                <c:pt idx="143">
                  <c:v>60.822575515833471</c:v>
                </c:pt>
                <c:pt idx="144">
                  <c:v>60.637256410488405</c:v>
                </c:pt>
                <c:pt idx="145">
                  <c:v>60.45163640578135</c:v>
                </c:pt>
                <c:pt idx="146">
                  <c:v>60.265717995813667</c:v>
                </c:pt>
                <c:pt idx="147">
                  <c:v>60.079503675216706</c:v>
                </c:pt>
                <c:pt idx="148">
                  <c:v>59.892995939051467</c:v>
                </c:pt>
                <c:pt idx="149">
                  <c:v>59.706197282707898</c:v>
                </c:pt>
                <c:pt idx="150">
                  <c:v>59.519110201804395</c:v>
                </c:pt>
                <c:pt idx="151">
                  <c:v>59.339422604439228</c:v>
                </c:pt>
                <c:pt idx="152">
                  <c:v>59.167143066954594</c:v>
                </c:pt>
                <c:pt idx="153">
                  <c:v>58.99458903999799</c:v>
                </c:pt>
                <c:pt idx="154">
                  <c:v>58.821762779918821</c:v>
                </c:pt>
                <c:pt idx="155">
                  <c:v>58.64866654350233</c:v>
                </c:pt>
                <c:pt idx="156">
                  <c:v>58.475302587881103</c:v>
                </c:pt>
                <c:pt idx="157">
                  <c:v>58.301673170446335</c:v>
                </c:pt>
                <c:pt idx="158">
                  <c:v>58.127780548759475</c:v>
                </c:pt>
                <c:pt idx="159">
                  <c:v>57.953626980463497</c:v>
                </c:pt>
                <c:pt idx="160">
                  <c:v>57.779214723194634</c:v>
                </c:pt>
                <c:pt idx="161">
                  <c:v>57.604546034493858</c:v>
                </c:pt>
                <c:pt idx="162">
                  <c:v>57.429623171718603</c:v>
                </c:pt>
                <c:pt idx="163">
                  <c:v>57.254448391954611</c:v>
                </c:pt>
                <c:pt idx="164">
                  <c:v>57.07902395192788</c:v>
                </c:pt>
                <c:pt idx="165">
                  <c:v>56.903352107916518</c:v>
                </c:pt>
                <c:pt idx="166">
                  <c:v>56.727435115663198</c:v>
                </c:pt>
                <c:pt idx="167">
                  <c:v>56.551275230287345</c:v>
                </c:pt>
                <c:pt idx="168">
                  <c:v>56.374874706197637</c:v>
                </c:pt>
                <c:pt idx="169">
                  <c:v>56.198235797004799</c:v>
                </c:pt>
                <c:pt idx="170">
                  <c:v>56.021360755434387</c:v>
                </c:pt>
                <c:pt idx="171">
                  <c:v>55.844251833240023</c:v>
                </c:pt>
                <c:pt idx="172">
                  <c:v>55.666911281116505</c:v>
                </c:pt>
                <c:pt idx="173">
                  <c:v>55.48934134861355</c:v>
                </c:pt>
                <c:pt idx="174">
                  <c:v>55.311544284049461</c:v>
                </c:pt>
                <c:pt idx="175">
                  <c:v>55.133522334425109</c:v>
                </c:pt>
                <c:pt idx="176">
                  <c:v>54.955277745338392</c:v>
                </c:pt>
                <c:pt idx="177">
                  <c:v>54.776812760898579</c:v>
                </c:pt>
                <c:pt idx="178">
                  <c:v>54.598129623641299</c:v>
                </c:pt>
                <c:pt idx="179">
                  <c:v>54.419230574443574</c:v>
                </c:pt>
                <c:pt idx="180">
                  <c:v>54.240117852439276</c:v>
                </c:pt>
                <c:pt idx="181">
                  <c:v>54.060793694934866</c:v>
                </c:pt>
                <c:pt idx="182">
                  <c:v>53.881260337325408</c:v>
                </c:pt>
                <c:pt idx="183">
                  <c:v>53.701520013010935</c:v>
                </c:pt>
                <c:pt idx="184">
                  <c:v>53.52157495331322</c:v>
                </c:pt>
                <c:pt idx="185">
                  <c:v>53.34142738739267</c:v>
                </c:pt>
                <c:pt idx="186">
                  <c:v>53.161079542165872</c:v>
                </c:pt>
                <c:pt idx="187">
                  <c:v>52.980533642223307</c:v>
                </c:pt>
                <c:pt idx="188">
                  <c:v>52.799791909747334</c:v>
                </c:pt>
                <c:pt idx="189">
                  <c:v>52.61885656443085</c:v>
                </c:pt>
                <c:pt idx="190">
                  <c:v>52.437729823396097</c:v>
                </c:pt>
                <c:pt idx="191">
                  <c:v>52.256413901113838</c:v>
                </c:pt>
                <c:pt idx="192">
                  <c:v>52.074911009323102</c:v>
                </c:pt>
                <c:pt idx="193">
                  <c:v>51.893223356951232</c:v>
                </c:pt>
                <c:pt idx="194">
                  <c:v>51.711353150034213</c:v>
                </c:pt>
                <c:pt idx="195">
                  <c:v>51.52930259163773</c:v>
                </c:pt>
                <c:pt idx="196">
                  <c:v>51.347073881778314</c:v>
                </c:pt>
                <c:pt idx="197">
                  <c:v>51.164669217345121</c:v>
                </c:pt>
                <c:pt idx="198">
                  <c:v>50.982090792022021</c:v>
                </c:pt>
                <c:pt idx="199">
                  <c:v>50.799340796210295</c:v>
                </c:pt>
                <c:pt idx="200">
                  <c:v>50.616421416951546</c:v>
                </c:pt>
                <c:pt idx="201">
                  <c:v>50.433334837851234</c:v>
                </c:pt>
                <c:pt idx="202">
                  <c:v>50.250083239002656</c:v>
                </c:pt>
                <c:pt idx="203">
                  <c:v>50.066668796911266</c:v>
                </c:pt>
                <c:pt idx="204">
                  <c:v>49.883093684419556</c:v>
                </c:pt>
                <c:pt idx="205">
                  <c:v>49.699360070632437</c:v>
                </c:pt>
                <c:pt idx="206">
                  <c:v>49.515470120842998</c:v>
                </c:pt>
                <c:pt idx="207">
                  <c:v>49.331425996458805</c:v>
                </c:pt>
                <c:pt idx="208">
                  <c:v>49.147229854928725</c:v>
                </c:pt>
                <c:pt idx="209">
                  <c:v>48.962883849670078</c:v>
                </c:pt>
                <c:pt idx="210">
                  <c:v>48.778390129996552</c:v>
                </c:pt>
                <c:pt idx="211">
                  <c:v>48.593750841046315</c:v>
                </c:pt>
                <c:pt idx="212">
                  <c:v>48.408968123710906</c:v>
                </c:pt>
                <c:pt idx="213">
                  <c:v>48.224044114564407</c:v>
                </c:pt>
                <c:pt idx="214">
                  <c:v>48.03898094579327</c:v>
                </c:pt>
                <c:pt idx="215">
                  <c:v>47.853780745126613</c:v>
                </c:pt>
                <c:pt idx="216">
                  <c:v>47.668445635767014</c:v>
                </c:pt>
                <c:pt idx="217">
                  <c:v>47.48297773632185</c:v>
                </c:pt>
                <c:pt idx="218">
                  <c:v>47.297379160735218</c:v>
                </c:pt>
                <c:pt idx="219">
                  <c:v>47.111652018220234</c:v>
                </c:pt>
                <c:pt idx="220">
                  <c:v>46.925798413192041</c:v>
                </c:pt>
                <c:pt idx="221">
                  <c:v>46.739820445201197</c:v>
                </c:pt>
                <c:pt idx="222">
                  <c:v>46.553720208867801</c:v>
                </c:pt>
                <c:pt idx="223">
                  <c:v>46.367499793815895</c:v>
                </c:pt>
                <c:pt idx="224">
                  <c:v>46.181161284608621</c:v>
                </c:pt>
                <c:pt idx="225">
                  <c:v>45.994706760683883</c:v>
                </c:pt>
                <c:pt idx="226">
                  <c:v>45.808138296290494</c:v>
                </c:pt>
                <c:pt idx="227">
                  <c:v>45.621457960424976</c:v>
                </c:pt>
                <c:pt idx="228">
                  <c:v>45.434667816768766</c:v>
                </c:pt>
                <c:pt idx="229">
                  <c:v>45.247769923626137</c:v>
                </c:pt>
                <c:pt idx="230">
                  <c:v>45.060766333862681</c:v>
                </c:pt>
                <c:pt idx="231">
                  <c:v>44.87365909484415</c:v>
                </c:pt>
                <c:pt idx="232">
                  <c:v>44.686450248376119</c:v>
                </c:pt>
                <c:pt idx="233">
                  <c:v>44.499141830644078</c:v>
                </c:pt>
                <c:pt idx="234">
                  <c:v>44.311735872154088</c:v>
                </c:pt>
                <c:pt idx="235">
                  <c:v>44.12423439767408</c:v>
                </c:pt>
                <c:pt idx="236">
                  <c:v>43.93663942617566</c:v>
                </c:pt>
                <c:pt idx="237">
                  <c:v>43.74895297077655</c:v>
                </c:pt>
                <c:pt idx="238">
                  <c:v>43.561177038683553</c:v>
                </c:pt>
                <c:pt idx="239">
                  <c:v>43.373313631136092</c:v>
                </c:pt>
                <c:pt idx="240">
                  <c:v>43.185364743350441</c:v>
                </c:pt>
                <c:pt idx="241">
                  <c:v>42.997332364464334</c:v>
                </c:pt>
                <c:pt idx="242">
                  <c:v>42.809218477482432</c:v>
                </c:pt>
                <c:pt idx="243">
                  <c:v>42.62102505922207</c:v>
                </c:pt>
                <c:pt idx="244">
                  <c:v>42.432754080259798</c:v>
                </c:pt>
                <c:pt idx="245">
                  <c:v>42.244407504878495</c:v>
                </c:pt>
                <c:pt idx="246">
                  <c:v>42.055987291014922</c:v>
                </c:pt>
                <c:pt idx="247">
                  <c:v>41.867495390208113</c:v>
                </c:pt>
                <c:pt idx="248">
                  <c:v>41.678933747548037</c:v>
                </c:pt>
                <c:pt idx="249">
                  <c:v>41.490304301625201</c:v>
                </c:pt>
                <c:pt idx="250">
                  <c:v>41.301608984480524</c:v>
                </c:pt>
                <c:pt idx="251">
                  <c:v>41.079809135871315</c:v>
                </c:pt>
                <c:pt idx="252">
                  <c:v>40.824901309510189</c:v>
                </c:pt>
                <c:pt idx="253">
                  <c:v>40.569942392904842</c:v>
                </c:pt>
                <c:pt idx="254">
                  <c:v>40.314935172198659</c:v>
                </c:pt>
                <c:pt idx="255">
                  <c:v>40.059882420885103</c:v>
                </c:pt>
                <c:pt idx="256">
                  <c:v>39.804786899736321</c:v>
                </c:pt>
                <c:pt idx="257">
                  <c:v>39.549651356732994</c:v>
                </c:pt>
                <c:pt idx="258">
                  <c:v>39.294478526995242</c:v>
                </c:pt>
                <c:pt idx="259">
                  <c:v>39.039271132714823</c:v>
                </c:pt>
                <c:pt idx="260">
                  <c:v>38.784031883088538</c:v>
                </c:pt>
                <c:pt idx="261">
                  <c:v>38.528763474252813</c:v>
                </c:pt>
                <c:pt idx="262">
                  <c:v>38.273468589219384</c:v>
                </c:pt>
                <c:pt idx="263">
                  <c:v>38.018149897812307</c:v>
                </c:pt>
                <c:pt idx="264">
                  <c:v>37.762810056606071</c:v>
                </c:pt>
                <c:pt idx="265">
                  <c:v>37.507451708864913</c:v>
                </c:pt>
                <c:pt idx="266">
                  <c:v>37.252077484483337</c:v>
                </c:pt>
                <c:pt idx="267">
                  <c:v>36.996689999927725</c:v>
                </c:pt>
                <c:pt idx="268">
                  <c:v>36.741291858179309</c:v>
                </c:pt>
                <c:pt idx="269">
                  <c:v>36.485885648678092</c:v>
                </c:pt>
                <c:pt idx="270">
                  <c:v>36.230473947268052</c:v>
                </c:pt>
                <c:pt idx="271">
                  <c:v>35.97505931614355</c:v>
                </c:pt>
                <c:pt idx="272">
                  <c:v>35.719644303796883</c:v>
                </c:pt>
                <c:pt idx="273">
                  <c:v>35.464231444966877</c:v>
                </c:pt>
                <c:pt idx="274">
                  <c:v>35.208823260588787</c:v>
                </c:pt>
                <c:pt idx="275">
                  <c:v>34.953422257745316</c:v>
                </c:pt>
                <c:pt idx="276">
                  <c:v>34.698030929618731</c:v>
                </c:pt>
                <c:pt idx="277">
                  <c:v>34.44265175544416</c:v>
                </c:pt>
                <c:pt idx="278">
                  <c:v>34.187287200464041</c:v>
                </c:pt>
                <c:pt idx="279">
                  <c:v>33.931939715883686</c:v>
                </c:pt>
                <c:pt idx="280">
                  <c:v>33.676611738827987</c:v>
                </c:pt>
                <c:pt idx="281">
                  <c:v>33.421305692299249</c:v>
                </c:pt>
                <c:pt idx="282">
                  <c:v>33.166023985136185</c:v>
                </c:pt>
                <c:pt idx="283">
                  <c:v>32.910769011973983</c:v>
                </c:pt>
                <c:pt idx="284">
                  <c:v>32.655543153205464</c:v>
                </c:pt>
                <c:pt idx="285">
                  <c:v>32.40034877494346</c:v>
                </c:pt>
                <c:pt idx="286">
                  <c:v>32.14518822898421</c:v>
                </c:pt>
                <c:pt idx="287">
                  <c:v>31.890063852771856</c:v>
                </c:pt>
                <c:pt idx="288">
                  <c:v>31.634977969364094</c:v>
                </c:pt>
                <c:pt idx="289">
                  <c:v>31.379932887398855</c:v>
                </c:pt>
                <c:pt idx="290">
                  <c:v>31.124930901062157</c:v>
                </c:pt>
                <c:pt idx="291">
                  <c:v>30.86997429005693</c:v>
                </c:pt>
                <c:pt idx="292">
                  <c:v>30.615065319572984</c:v>
                </c:pt>
                <c:pt idx="293">
                  <c:v>30.360206240258059</c:v>
                </c:pt>
                <c:pt idx="294">
                  <c:v>30.105399288189908</c:v>
                </c:pt>
                <c:pt idx="295">
                  <c:v>29.850646684849433</c:v>
                </c:pt>
                <c:pt idx="296">
                  <c:v>29.595950637094958</c:v>
                </c:pt>
                <c:pt idx="297">
                  <c:v>29.341313337137393</c:v>
                </c:pt>
                <c:pt idx="298">
                  <c:v>28.724660137841752</c:v>
                </c:pt>
                <c:pt idx="299">
                  <c:v>27.746057371934327</c:v>
                </c:pt>
                <c:pt idx="300">
                  <c:v>26.767828929402746</c:v>
                </c:pt>
                <c:pt idx="301">
                  <c:v>25.789993291650482</c:v>
                </c:pt>
                <c:pt idx="302">
                  <c:v>24.812568739742495</c:v>
                </c:pt>
                <c:pt idx="303">
                  <c:v>23.835573353864923</c:v>
                </c:pt>
                <c:pt idx="304">
                  <c:v>22.859025012818435</c:v>
                </c:pt>
                <c:pt idx="305">
                  <c:v>21.882941393545238</c:v>
                </c:pt>
                <c:pt idx="306">
                  <c:v>20.907339970689122</c:v>
                </c:pt>
                <c:pt idx="307">
                  <c:v>19.932238016188535</c:v>
                </c:pt>
                <c:pt idx="308">
                  <c:v>18.957652598902129</c:v>
                </c:pt>
                <c:pt idx="309">
                  <c:v>17.983600584266679</c:v>
                </c:pt>
                <c:pt idx="310">
                  <c:v>17.0100986339869</c:v>
                </c:pt>
                <c:pt idx="311">
                  <c:v>16.03716320575689</c:v>
                </c:pt>
                <c:pt idx="312">
                  <c:v>15.064810553012997</c:v>
                </c:pt>
                <c:pt idx="313">
                  <c:v>14.093056724717441</c:v>
                </c:pt>
                <c:pt idx="314">
                  <c:v>13.121917565172785</c:v>
                </c:pt>
                <c:pt idx="315">
                  <c:v>12.151408713866633</c:v>
                </c:pt>
                <c:pt idx="316">
                  <c:v>11.181545605346187</c:v>
                </c:pt>
                <c:pt idx="317">
                  <c:v>10.212343469122583</c:v>
                </c:pt>
                <c:pt idx="318">
                  <c:v>9.2438173296043402</c:v>
                </c:pt>
                <c:pt idx="319">
                  <c:v>8.2759820060597402</c:v>
                </c:pt>
                <c:pt idx="320">
                  <c:v>7.3088521126077985</c:v>
                </c:pt>
                <c:pt idx="321">
                  <c:v>6.486352094292279</c:v>
                </c:pt>
                <c:pt idx="322">
                  <c:v>5.8084020258632183</c:v>
                </c:pt>
                <c:pt idx="323">
                  <c:v>5.1309718682761876</c:v>
                </c:pt>
                <c:pt idx="324">
                  <c:v>4.4540684337146228</c:v>
                </c:pt>
                <c:pt idx="325">
                  <c:v>3.7776984333301353</c:v>
                </c:pt>
                <c:pt idx="326">
                  <c:v>3.1018684774079031</c:v>
                </c:pt>
                <c:pt idx="327">
                  <c:v>2.4265850755408476</c:v>
                </c:pt>
                <c:pt idx="328">
                  <c:v>1.7518546368126877</c:v>
                </c:pt>
                <c:pt idx="329">
                  <c:v>1.0776834699893936</c:v>
                </c:pt>
                <c:pt idx="330">
                  <c:v>0.40407778371925573</c:v>
                </c:pt>
                <c:pt idx="331">
                  <c:v>-0.26895631325884395</c:v>
                </c:pt>
                <c:pt idx="332">
                  <c:v>-0.9414128118989602</c:v>
                </c:pt>
                <c:pt idx="333">
                  <c:v>-1.6132858026235262</c:v>
                </c:pt>
                <c:pt idx="334">
                  <c:v>-2.2845694750910139</c:v>
                </c:pt>
                <c:pt idx="335">
                  <c:v>-2.9552581179556814</c:v>
                </c:pt>
                <c:pt idx="336">
                  <c:v>-3.625346118619861</c:v>
                </c:pt>
                <c:pt idx="337">
                  <c:v>-4.2948279629786335</c:v>
                </c:pt>
                <c:pt idx="338">
                  <c:v>-4.963698235157211</c:v>
                </c:pt>
                <c:pt idx="339">
                  <c:v>-5.6319516172411141</c:v>
                </c:pt>
                <c:pt idx="340">
                  <c:v>-6.2995828889992751</c:v>
                </c:pt>
                <c:pt idx="341">
                  <c:v>-6.9665869276001633</c:v>
                </c:pt>
                <c:pt idx="342">
                  <c:v>-7.632958707321194</c:v>
                </c:pt>
                <c:pt idx="343">
                  <c:v>-8.2986932992513616</c:v>
                </c:pt>
                <c:pt idx="344">
                  <c:v>-8.9637858709874436</c:v>
                </c:pt>
                <c:pt idx="345">
                  <c:v>-9.6282316863237796</c:v>
                </c:pt>
                <c:pt idx="346">
                  <c:v>-10.292026104935731</c:v>
                </c:pt>
                <c:pt idx="347">
                  <c:v>-10.955164582057138</c:v>
                </c:pt>
                <c:pt idx="348">
                  <c:v>-11.602128157068037</c:v>
                </c:pt>
                <c:pt idx="349">
                  <c:v>-12.232928050911418</c:v>
                </c:pt>
                <c:pt idx="350">
                  <c:v>-12.863091424551859</c:v>
                </c:pt>
                <c:pt idx="351">
                  <c:v>-13.492614593917224</c:v>
                </c:pt>
                <c:pt idx="352">
                  <c:v>-14.121493959892167</c:v>
                </c:pt>
                <c:pt idx="353">
                  <c:v>-14.749726007987094</c:v>
                </c:pt>
                <c:pt idx="354">
                  <c:v>-15.377307308002798</c:v>
                </c:pt>
                <c:pt idx="355">
                  <c:v>-16.004234513690857</c:v>
                </c:pt>
                <c:pt idx="356">
                  <c:v>-16.63050436240988</c:v>
                </c:pt>
                <c:pt idx="357">
                  <c:v>-17.256113674777762</c:v>
                </c:pt>
                <c:pt idx="358">
                  <c:v>-17.881059354320023</c:v>
                </c:pt>
                <c:pt idx="359">
                  <c:v>-18.505338387114364</c:v>
                </c:pt>
                <c:pt idx="360">
                  <c:v>-18.806301969400682</c:v>
                </c:pt>
                <c:pt idx="361">
                  <c:v>-18.784311601644941</c:v>
                </c:pt>
                <c:pt idx="362">
                  <c:v>-18.762374570266523</c:v>
                </c:pt>
                <c:pt idx="363">
                  <c:v>-18.740490701445562</c:v>
                </c:pt>
                <c:pt idx="364">
                  <c:v>-18.718659822057209</c:v>
                </c:pt>
                <c:pt idx="365">
                  <c:v>-18.696881759668244</c:v>
                </c:pt>
                <c:pt idx="366">
                  <c:v>-18.675156342533597</c:v>
                </c:pt>
                <c:pt idx="367">
                  <c:v>-18.653483399592936</c:v>
                </c:pt>
                <c:pt idx="368">
                  <c:v>-18.631862760467264</c:v>
                </c:pt>
                <c:pt idx="369">
                  <c:v>-18.610294255455564</c:v>
                </c:pt>
                <c:pt idx="370">
                  <c:v>-18.588777715531386</c:v>
                </c:pt>
                <c:pt idx="371">
                  <c:v>-18.56731297233955</c:v>
                </c:pt>
                <c:pt idx="372">
                  <c:v>-18.545899858192797</c:v>
                </c:pt>
                <c:pt idx="373">
                  <c:v>-18.524538206068499</c:v>
                </c:pt>
                <c:pt idx="374">
                  <c:v>-18.503227849605356</c:v>
                </c:pt>
                <c:pt idx="375">
                  <c:v>-18.481968623100133</c:v>
                </c:pt>
                <c:pt idx="376">
                  <c:v>-18.460760361504413</c:v>
                </c:pt>
                <c:pt idx="377">
                  <c:v>-18.439602900421363</c:v>
                </c:pt>
                <c:pt idx="378">
                  <c:v>-18.418496076102507</c:v>
                </c:pt>
                <c:pt idx="379">
                  <c:v>-18.397439725444567</c:v>
                </c:pt>
                <c:pt idx="380">
                  <c:v>-18.376433685986235</c:v>
                </c:pt>
                <c:pt idx="381">
                  <c:v>-18.355477795905053</c:v>
                </c:pt>
                <c:pt idx="382">
                  <c:v>-18.334571894014239</c:v>
                </c:pt>
                <c:pt idx="383">
                  <c:v>-18.313715819759587</c:v>
                </c:pt>
                <c:pt idx="384">
                  <c:v>-18.292909413216346</c:v>
                </c:pt>
                <c:pt idx="385">
                  <c:v>-18.272152515086127</c:v>
                </c:pt>
                <c:pt idx="386">
                  <c:v>-18.251444966693832</c:v>
                </c:pt>
                <c:pt idx="387">
                  <c:v>-18.230786609984612</c:v>
                </c:pt>
                <c:pt idx="388">
                  <c:v>-18.210177287520786</c:v>
                </c:pt>
                <c:pt idx="389">
                  <c:v>-18.189616842478877</c:v>
                </c:pt>
                <c:pt idx="390">
                  <c:v>-18.169105118646556</c:v>
                </c:pt>
                <c:pt idx="391">
                  <c:v>-18.14864196041967</c:v>
                </c:pt>
                <c:pt idx="392">
                  <c:v>-18.128227212799281</c:v>
                </c:pt>
                <c:pt idx="393">
                  <c:v>-18.107860721388683</c:v>
                </c:pt>
                <c:pt idx="394">
                  <c:v>-18.08754233239048</c:v>
                </c:pt>
                <c:pt idx="395">
                  <c:v>-18.067271892603671</c:v>
                </c:pt>
                <c:pt idx="396">
                  <c:v>-18.047049249420716</c:v>
                </c:pt>
                <c:pt idx="397">
                  <c:v>-18.026874250824651</c:v>
                </c:pt>
                <c:pt idx="398">
                  <c:v>-18.006746745386231</c:v>
                </c:pt>
                <c:pt idx="399">
                  <c:v>-17.986666582261051</c:v>
                </c:pt>
                <c:pt idx="400">
                  <c:v>-17.966633611186687</c:v>
                </c:pt>
                <c:pt idx="401">
                  <c:v>-17.946647682479913</c:v>
                </c:pt>
                <c:pt idx="402">
                  <c:v>-17.748455926487569</c:v>
                </c:pt>
                <c:pt idx="403">
                  <c:v>-17.554859510926079</c:v>
                </c:pt>
                <c:pt idx="404">
                  <c:v>-17.365715136396599</c:v>
                </c:pt>
                <c:pt idx="405">
                  <c:v>-17.180884865910571</c:v>
                </c:pt>
                <c:pt idx="406">
                  <c:v>-17.000235871208886</c:v>
                </c:pt>
                <c:pt idx="407">
                  <c:v>-16.823640192313139</c:v>
                </c:pt>
                <c:pt idx="408">
                  <c:v>-16.650974509482882</c:v>
                </c:pt>
                <c:pt idx="409">
                  <c:v>-16.482119926807595</c:v>
                </c:pt>
                <c:pt idx="410">
                  <c:v>-16.316961766713078</c:v>
                </c:pt>
                <c:pt idx="411">
                  <c:v>-16.15538937470895</c:v>
                </c:pt>
                <c:pt idx="412">
                  <c:v>-15.997295933747552</c:v>
                </c:pt>
                <c:pt idx="413">
                  <c:v>-15.842578287604212</c:v>
                </c:pt>
                <c:pt idx="414">
                  <c:v>-15.691136772726434</c:v>
                </c:pt>
                <c:pt idx="415">
                  <c:v>-15.542875058033404</c:v>
                </c:pt>
                <c:pt idx="416">
                  <c:v>-15.39769999217912</c:v>
                </c:pt>
                <c:pt idx="417">
                  <c:v>-15.255521457821626</c:v>
                </c:pt>
                <c:pt idx="418">
                  <c:v>-15.116252232467923</c:v>
                </c:pt>
                <c:pt idx="419">
                  <c:v>-14.979807855488986</c:v>
                </c:pt>
                <c:pt idx="420">
                  <c:v>-14.846106500922705</c:v>
                </c:pt>
                <c:pt idx="421">
                  <c:v>-14.715068855703475</c:v>
                </c:pt>
                <c:pt idx="422">
                  <c:v>-14.586618002977106</c:v>
                </c:pt>
                <c:pt idx="423">
                  <c:v>-14.460679310177765</c:v>
                </c:pt>
                <c:pt idx="424">
                  <c:v>-14.337180321560147</c:v>
                </c:pt>
                <c:pt idx="425">
                  <c:v>-14.216050654895719</c:v>
                </c:pt>
                <c:pt idx="426">
                  <c:v>-14.097221902055571</c:v>
                </c:pt>
                <c:pt idx="427">
                  <c:v>-13.980627533215529</c:v>
                </c:pt>
                <c:pt idx="428">
                  <c:v>-13.866202804430724</c:v>
                </c:pt>
                <c:pt idx="429">
                  <c:v>-13.75388466833757</c:v>
                </c:pt>
                <c:pt idx="430">
                  <c:v>-13.643611687750759</c:v>
                </c:pt>
                <c:pt idx="431">
                  <c:v>-13.535323951931442</c:v>
                </c:pt>
                <c:pt idx="432">
                  <c:v>-13.428962995310647</c:v>
                </c:pt>
                <c:pt idx="433">
                  <c:v>-13.324471718458829</c:v>
                </c:pt>
                <c:pt idx="434">
                  <c:v>-13.221794311098414</c:v>
                </c:pt>
                <c:pt idx="435">
                  <c:v>-13.120876176961421</c:v>
                </c:pt>
                <c:pt idx="436">
                  <c:v>-13.021663860298695</c:v>
                </c:pt>
                <c:pt idx="437">
                  <c:v>-12.924104973850779</c:v>
                </c:pt>
                <c:pt idx="438">
                  <c:v>-12.828148128093389</c:v>
                </c:pt>
                <c:pt idx="439">
                  <c:v>-12.733742861572464</c:v>
                </c:pt>
                <c:pt idx="440">
                  <c:v>-12.640839572145165</c:v>
                </c:pt>
                <c:pt idx="441">
                  <c:v>-12.549389448943625</c:v>
                </c:pt>
                <c:pt idx="442">
                  <c:v>-12.459344404878294</c:v>
                </c:pt>
                <c:pt idx="443">
                  <c:v>-12.370657009496554</c:v>
                </c:pt>
                <c:pt idx="444">
                  <c:v>-12.283280422010767</c:v>
                </c:pt>
                <c:pt idx="445">
                  <c:v>-12.197168324307363</c:v>
                </c:pt>
                <c:pt idx="446">
                  <c:v>-12.112274853745342</c:v>
                </c:pt>
                <c:pt idx="447">
                  <c:v>-12.028554535548508</c:v>
                </c:pt>
                <c:pt idx="448">
                  <c:v>-11.945962214590923</c:v>
                </c:pt>
                <c:pt idx="449">
                  <c:v>-11.864452986369251</c:v>
                </c:pt>
                <c:pt idx="450">
                  <c:v>-11.783982126949256</c:v>
                </c:pt>
                <c:pt idx="451">
                  <c:v>-11.704505021666034</c:v>
                </c:pt>
                <c:pt idx="452">
                  <c:v>-11.625977092349409</c:v>
                </c:pt>
                <c:pt idx="453">
                  <c:v>-11.548353722836444</c:v>
                </c:pt>
                <c:pt idx="454">
                  <c:v>-11.471590182522821</c:v>
                </c:pt>
                <c:pt idx="455">
                  <c:v>-11.395641547693561</c:v>
                </c:pt>
                <c:pt idx="456">
                  <c:v>-11.320462620361329</c:v>
                </c:pt>
                <c:pt idx="457">
                  <c:v>-11.246007844327178</c:v>
                </c:pt>
                <c:pt idx="458">
                  <c:v>-11.172231218164427</c:v>
                </c:pt>
                <c:pt idx="459">
                  <c:v>-11.099086204810845</c:v>
                </c:pt>
                <c:pt idx="460">
                  <c:v>-11.026525637438095</c:v>
                </c:pt>
                <c:pt idx="461">
                  <c:v>-10.954501621249895</c:v>
                </c:pt>
                <c:pt idx="462">
                  <c:v>-10.882965430842148</c:v>
                </c:pt>
                <c:pt idx="463">
                  <c:v>-10.811867402738949</c:v>
                </c:pt>
                <c:pt idx="464">
                  <c:v>-10.741156822698503</c:v>
                </c:pt>
                <c:pt idx="465">
                  <c:v>-10.670781807362276</c:v>
                </c:pt>
                <c:pt idx="466">
                  <c:v>-10.600689179799559</c:v>
                </c:pt>
                <c:pt idx="467">
                  <c:v>-10.530824338478272</c:v>
                </c:pt>
                <c:pt idx="468">
                  <c:v>-10.461131119171583</c:v>
                </c:pt>
                <c:pt idx="469">
                  <c:v>-10.391551649288955</c:v>
                </c:pt>
                <c:pt idx="470">
                  <c:v>-10.322026194100474</c:v>
                </c:pt>
                <c:pt idx="471">
                  <c:v>-10.252492994304784</c:v>
                </c:pt>
                <c:pt idx="472">
                  <c:v>-10.182888094375116</c:v>
                </c:pt>
                <c:pt idx="473">
                  <c:v>-10.11314516110486</c:v>
                </c:pt>
                <c:pt idx="474">
                  <c:v>-10.043195291765901</c:v>
                </c:pt>
                <c:pt idx="475">
                  <c:v>-9.9729668112901582</c:v>
                </c:pt>
                <c:pt idx="476">
                  <c:v>-9.9023850578896031</c:v>
                </c:pt>
                <c:pt idx="477">
                  <c:v>-9.8313721565443224</c:v>
                </c:pt>
                <c:pt idx="478">
                  <c:v>-9.7598467798143993</c:v>
                </c:pt>
                <c:pt idx="479">
                  <c:v>-9.6877238954725033</c:v>
                </c:pt>
                <c:pt idx="480">
                  <c:v>-9.6149145005135157</c:v>
                </c:pt>
                <c:pt idx="481">
                  <c:v>-9.5413253411795456</c:v>
                </c:pt>
                <c:pt idx="482">
                  <c:v>-9.4668586187481356</c:v>
                </c:pt>
                <c:pt idx="483">
                  <c:v>-9.3914116809741497</c:v>
                </c:pt>
                <c:pt idx="484">
                  <c:v>-9.3148766992586953</c:v>
                </c:pt>
                <c:pt idx="485">
                  <c:v>-9.2371403318492202</c:v>
                </c:pt>
                <c:pt idx="486">
                  <c:v>-9.1580833736630503</c:v>
                </c:pt>
                <c:pt idx="487">
                  <c:v>-9.0775803936828989</c:v>
                </c:pt>
                <c:pt idx="488">
                  <c:v>-8.9954993613091165</c:v>
                </c:pt>
                <c:pt idx="489">
                  <c:v>-8.9117012635842787</c:v>
                </c:pt>
                <c:pt idx="490">
                  <c:v>-8.8260397158463348</c:v>
                </c:pt>
                <c:pt idx="491">
                  <c:v>-8.7383605691351018</c:v>
                </c:pt>
                <c:pt idx="492">
                  <c:v>-8.6485015185925747</c:v>
                </c:pt>
                <c:pt idx="493">
                  <c:v>-8.5562917181816331</c:v>
                </c:pt>
                <c:pt idx="494">
                  <c:v>-8.4615514083231655</c:v>
                </c:pt>
                <c:pt idx="495">
                  <c:v>-8.3640915645413081</c:v>
                </c:pt>
                <c:pt idx="496">
                  <c:v>-8.2637135769348014</c:v>
                </c:pt>
                <c:pt idx="497">
                  <c:v>-8.1602089722813584</c:v>
                </c:pt>
                <c:pt idx="498">
                  <c:v>-8.0533591928513442</c:v>
                </c:pt>
                <c:pt idx="499">
                  <c:v>-7.9429354485717791</c:v>
                </c:pt>
                <c:pt idx="500">
                  <c:v>-7.828698662047807</c:v>
                </c:pt>
                <c:pt idx="501">
                  <c:v>-7.710399529110723</c:v>
                </c:pt>
                <c:pt idx="502">
                  <c:v>-7.5877787209961562</c:v>
                </c:pt>
                <c:pt idx="503">
                  <c:v>-7.4605672579159856</c:v>
                </c:pt>
                <c:pt idx="504">
                  <c:v>-7.3284870875948895</c:v>
                </c:pt>
                <c:pt idx="505">
                  <c:v>-7.1912519061781142</c:v>
                </c:pt>
                <c:pt idx="506">
                  <c:v>-7.0485682626119663</c:v>
                </c:pt>
                <c:pt idx="507">
                  <c:v>-6.9001369909219301</c:v>
                </c:pt>
                <c:pt idx="508">
                  <c:v>-6.7456550174620471</c:v>
                </c:pt>
                <c:pt idx="509">
                  <c:v>-6.5848175917982976</c:v>
                </c:pt>
                <c:pt idx="510">
                  <c:v>-6.417320989943617</c:v>
                </c:pt>
                <c:pt idx="511">
                  <c:v>-6.2428657366181648</c:v>
                </c:pt>
                <c:pt idx="512">
                  <c:v>-6.0611603884162983</c:v>
                </c:pt>
                <c:pt idx="513">
                  <c:v>-5.8719259115074491</c:v>
                </c:pt>
                <c:pt idx="514">
                  <c:v>-5.6749006750379447</c:v>
                </c:pt>
                <c:pt idx="515">
                  <c:v>-5.4698460640182134</c:v>
                </c:pt>
                <c:pt idx="516">
                  <c:v>-5.2565526925654993</c:v>
                </c:pt>
                <c:pt idx="517">
                  <c:v>-5.0348471695333616</c:v>
                </c:pt>
                <c:pt idx="518">
                  <c:v>-4.8045993337510016</c:v>
                </c:pt>
                <c:pt idx="519">
                  <c:v>-4.5657298357734675</c:v>
                </c:pt>
                <c:pt idx="520">
                  <c:v>-4.3182178983213566</c:v>
                </c:pt>
                <c:pt idx="521">
                  <c:v>-4.0621090403770994</c:v>
                </c:pt>
                <c:pt idx="522">
                  <c:v>-3.7975225030092439</c:v>
                </c:pt>
                <c:pt idx="523">
                  <c:v>-3.5246580721253538</c:v>
                </c:pt>
                <c:pt idx="524">
                  <c:v>-3.2438019590111247</c:v>
                </c:pt>
                <c:pt idx="525">
                  <c:v>-2.9553313787252926</c:v>
                </c:pt>
                <c:pt idx="526">
                  <c:v>-2.6597174642956865</c:v>
                </c:pt>
                <c:pt idx="527">
                  <c:v>-2.3575261757797641</c:v>
                </c:pt>
                <c:pt idx="528">
                  <c:v>-2.0494169109297826</c:v>
                </c:pt>
                <c:pt idx="529">
                  <c:v>-1.736138599730976</c:v>
                </c:pt>
                <c:pt idx="530">
                  <c:v>-1.4185231670624125</c:v>
                </c:pt>
                <c:pt idx="531">
                  <c:v>-1.0974763716568385</c:v>
                </c:pt>
                <c:pt idx="532">
                  <c:v>-0.77396616775858751</c:v>
                </c:pt>
                <c:pt idx="533">
                  <c:v>-0.44900887806156531</c:v>
                </c:pt>
                <c:pt idx="534">
                  <c:v>-0.12365360058555507</c:v>
                </c:pt>
                <c:pt idx="535">
                  <c:v>0.20103461430869202</c:v>
                </c:pt>
                <c:pt idx="536">
                  <c:v>0.52399219875060243</c:v>
                </c:pt>
                <c:pt idx="537">
                  <c:v>0.84417445434324379</c:v>
                </c:pt>
                <c:pt idx="538">
                  <c:v>1.1605722344583369</c:v>
                </c:pt>
                <c:pt idx="539">
                  <c:v>1.4722273121125544</c:v>
                </c:pt>
                <c:pt idx="540">
                  <c:v>1.7782459101553263</c:v>
                </c:pt>
                <c:pt idx="541">
                  <c:v>2.0778099874986253</c:v>
                </c:pt>
                <c:pt idx="542">
                  <c:v>2.370186011220901</c:v>
                </c:pt>
                <c:pt idx="543">
                  <c:v>2.6547310870876486</c:v>
                </c:pt>
                <c:pt idx="544">
                  <c:v>2.9308964583877364</c:v>
                </c:pt>
                <c:pt idx="545">
                  <c:v>3.1982285048926782</c:v>
                </c:pt>
                <c:pt idx="546">
                  <c:v>3.4563674728845521</c:v>
                </c:pt>
                <c:pt idx="547">
                  <c:v>3.7050442394205918</c:v>
                </c:pt>
                <c:pt idx="548">
                  <c:v>3.9440754582552939</c:v>
                </c:pt>
                <c:pt idx="549">
                  <c:v>4.1733574527083537</c:v>
                </c:pt>
                <c:pt idx="550">
                  <c:v>4.3928592157818764</c:v>
                </c:pt>
                <c:pt idx="551">
                  <c:v>4.6026148547057124</c:v>
                </c:pt>
                <c:pt idx="552">
                  <c:v>4.8027157809911163</c:v>
                </c:pt>
                <c:pt idx="553">
                  <c:v>4.9933029030209077</c:v>
                </c:pt>
                <c:pt idx="554">
                  <c:v>5.1745590306484219</c:v>
                </c:pt>
                <c:pt idx="555">
                  <c:v>5.3467016538451944</c:v>
                </c:pt>
                <c:pt idx="556">
                  <c:v>5.5099762128385459</c:v>
                </c:pt>
                <c:pt idx="557">
                  <c:v>5.6646499372313635</c:v>
                </c:pt>
                <c:pt idx="558">
                  <c:v>5.8110062973235275</c:v>
                </c:pt>
                <c:pt idx="559">
                  <c:v>5.9493400826392513</c:v>
                </c:pt>
                <c:pt idx="560">
                  <c:v>6.0799531004037446</c:v>
                </c:pt>
                <c:pt idx="561">
                  <c:v>6.203150469969418</c:v>
                </c:pt>
                <c:pt idx="562">
                  <c:v>6.3192374773276594</c:v>
                </c:pt>
                <c:pt idx="563">
                  <c:v>6.4285169461221425</c:v>
                </c:pt>
                <c:pt idx="564">
                  <c:v>6.5312870772510285</c:v>
                </c:pt>
                <c:pt idx="565">
                  <c:v>6.6278397074921696</c:v>
                </c:pt>
                <c:pt idx="566">
                  <c:v>6.7184589379610467</c:v>
                </c:pt>
                <c:pt idx="567">
                  <c:v>6.8034200850562829</c:v>
                </c:pt>
                <c:pt idx="568">
                  <c:v>6.8829889093954089</c:v>
                </c:pt>
                <c:pt idx="569">
                  <c:v>6.9574210817165572</c:v>
                </c:pt>
                <c:pt idx="570">
                  <c:v>7.0269618485251026</c:v>
                </c:pt>
                <c:pt idx="571">
                  <c:v>7.0918458641746218</c:v>
                </c:pt>
                <c:pt idx="572">
                  <c:v>7.1522971599262686</c:v>
                </c:pt>
                <c:pt idx="573">
                  <c:v>7.2085292242170436</c:v>
                </c:pt>
                <c:pt idx="574">
                  <c:v>7.260745171812049</c:v>
                </c:pt>
                <c:pt idx="575">
                  <c:v>7.3091379826758152</c:v>
                </c:pt>
                <c:pt idx="576">
                  <c:v>7.3538907942534593</c:v>
                </c:pt>
                <c:pt idx="577">
                  <c:v>7.3951772334006449</c:v>
                </c:pt>
                <c:pt idx="578">
                  <c:v>7.4331617764503726</c:v>
                </c:pt>
                <c:pt idx="579">
                  <c:v>7.4680001278712949</c:v>
                </c:pt>
                <c:pt idx="580">
                  <c:v>7.499839609676787</c:v>
                </c:pt>
                <c:pt idx="581">
                  <c:v>7.5288195552106636</c:v>
                </c:pt>
                <c:pt idx="582">
                  <c:v>7.5550717021876492</c:v>
                </c:pt>
                <c:pt idx="583">
                  <c:v>7.578720580929132</c:v>
                </c:pt>
                <c:pt idx="584">
                  <c:v>7.5998838946299108</c:v>
                </c:pt>
                <c:pt idx="585">
                  <c:v>7.6186728892408917</c:v>
                </c:pt>
                <c:pt idx="586">
                  <c:v>7.6351927111760105</c:v>
                </c:pt>
                <c:pt idx="587">
                  <c:v>7.6495427515661012</c:v>
                </c:pt>
                <c:pt idx="588">
                  <c:v>7.6618169762043991</c:v>
                </c:pt>
                <c:pt idx="589">
                  <c:v>7.6721042406712057</c:v>
                </c:pt>
                <c:pt idx="590">
                  <c:v>7.6804885904016782</c:v>
                </c:pt>
                <c:pt idx="591">
                  <c:v>7.6870495456807806</c:v>
                </c:pt>
                <c:pt idx="592">
                  <c:v>7.6918623717228325</c:v>
                </c:pt>
                <c:pt idx="593">
                  <c:v>7.6949983341272912</c:v>
                </c:pt>
                <c:pt idx="594">
                  <c:v>7.6965249401042328</c:v>
                </c:pt>
                <c:pt idx="595">
                  <c:v>7.6965061659383087</c:v>
                </c:pt>
                <c:pt idx="596">
                  <c:v>7.6950026712132695</c:v>
                </c:pt>
                <c:pt idx="597">
                  <c:v>7.6920720003549867</c:v>
                </c:pt>
                <c:pt idx="598">
                  <c:v>7.6877687720721246</c:v>
                </c:pt>
                <c:pt idx="599">
                  <c:v>7.6821448572836326</c:v>
                </c:pt>
                <c:pt idx="600">
                  <c:v>7.6752495461231058</c:v>
                </c:pt>
                <c:pt idx="601">
                  <c:v>7.6671297046037559</c:v>
                </c:pt>
                <c:pt idx="602">
                  <c:v>7.6578299215161216</c:v>
                </c:pt>
                <c:pt idx="603">
                  <c:v>7.6473926461148194</c:v>
                </c:pt>
                <c:pt idx="604">
                  <c:v>7.635858317131837</c:v>
                </c:pt>
                <c:pt idx="605">
                  <c:v>7.6232654836328964</c:v>
                </c:pt>
                <c:pt idx="606">
                  <c:v>7.6096509182111696</c:v>
                </c:pt>
                <c:pt idx="607">
                  <c:v>7.5950497229893479</c:v>
                </c:pt>
                <c:pt idx="608">
                  <c:v>7.5794954288776459</c:v>
                </c:pt>
                <c:pt idx="609">
                  <c:v>7.5630200885118279</c:v>
                </c:pt>
                <c:pt idx="610">
                  <c:v>7.545654363271951</c:v>
                </c:pt>
                <c:pt idx="611">
                  <c:v>7.527427604760053</c:v>
                </c:pt>
                <c:pt idx="612">
                  <c:v>7.5083679310926925</c:v>
                </c:pt>
                <c:pt idx="613">
                  <c:v>7.4885022983431568</c:v>
                </c:pt>
                <c:pt idx="614">
                  <c:v>7.4678565674476021</c:v>
                </c:pt>
                <c:pt idx="615">
                  <c:v>7.446455566869985</c:v>
                </c:pt>
                <c:pt idx="616">
                  <c:v>7.4243231513019579</c:v>
                </c:pt>
                <c:pt idx="617">
                  <c:v>7.4014822566564327</c:v>
                </c:pt>
                <c:pt idx="618">
                  <c:v>7.3779549515967009</c:v>
                </c:pt>
                <c:pt idx="619">
                  <c:v>7.3537624858274029</c:v>
                </c:pt>
                <c:pt idx="620">
                  <c:v>7.3289253353587451</c:v>
                </c:pt>
                <c:pt idx="621">
                  <c:v>7.3034632449414758</c:v>
                </c:pt>
                <c:pt idx="622">
                  <c:v>7.277395267857071</c:v>
                </c:pt>
                <c:pt idx="623">
                  <c:v>7.2507398032352732</c:v>
                </c:pt>
                <c:pt idx="624">
                  <c:v>7.22351463105971</c:v>
                </c:pt>
                <c:pt idx="625">
                  <c:v>7.1957369450115571</c:v>
                </c:pt>
                <c:pt idx="626">
                  <c:v>7.1674233832911751</c:v>
                </c:pt>
                <c:pt idx="627">
                  <c:v>7.1385900575482992</c:v>
                </c:pt>
                <c:pt idx="628">
                  <c:v>7.1092525800425586</c:v>
                </c:pt>
                <c:pt idx="629">
                  <c:v>7.0794260891480247</c:v>
                </c:pt>
                <c:pt idx="630">
                  <c:v>7.0491252733078271</c:v>
                </c:pt>
                <c:pt idx="631">
                  <c:v>7.0183643935377269</c:v>
                </c:pt>
                <c:pt idx="632">
                  <c:v>6.9871573045710829</c:v>
                </c:pt>
                <c:pt idx="633">
                  <c:v>6.9555174747313249</c:v>
                </c:pt>
                <c:pt idx="634">
                  <c:v>6.9234580046123915</c:v>
                </c:pt>
                <c:pt idx="635">
                  <c:v>6.8909916446422503</c:v>
                </c:pt>
                <c:pt idx="636">
                  <c:v>6.858130811599616</c:v>
                </c:pt>
                <c:pt idx="637">
                  <c:v>6.824887604149362</c:v>
                </c:pt>
                <c:pt idx="638">
                  <c:v>6.7912738174577827</c:v>
                </c:pt>
                <c:pt idx="639">
                  <c:v>6.7573009569449312</c:v>
                </c:pt>
                <c:pt idx="640">
                  <c:v>6.7229802512273826</c:v>
                </c:pt>
                <c:pt idx="641">
                  <c:v>6.6883226643013778</c:v>
                </c:pt>
                <c:pt idx="642">
                  <c:v>6.6533389070130804</c:v>
                </c:pt>
                <c:pt idx="643">
                  <c:v>6.6180394478595641</c:v>
                </c:pt>
                <c:pt idx="644">
                  <c:v>6.5824345231614068</c:v>
                </c:pt>
                <c:pt idx="645">
                  <c:v>6.5465341466451195</c:v>
                </c:pt>
                <c:pt idx="646">
                  <c:v>6.5103481184712066</c:v>
                </c:pt>
                <c:pt idx="647">
                  <c:v>6.4738860337413069</c:v>
                </c:pt>
                <c:pt idx="648">
                  <c:v>6.4371572905158825</c:v>
                </c:pt>
                <c:pt idx="649">
                  <c:v>6.4001710973717785</c:v>
                </c:pt>
                <c:pt idx="650">
                  <c:v>6.362936480527229</c:v>
                </c:pt>
                <c:pt idx="651">
                  <c:v>6.3254622905601465</c:v>
                </c:pt>
                <c:pt idx="652">
                  <c:v>6.287757208743896</c:v>
                </c:pt>
                <c:pt idx="653">
                  <c:v>6.249829753023274</c:v>
                </c:pt>
                <c:pt idx="654">
                  <c:v>6.2116882836519833</c:v>
                </c:pt>
                <c:pt idx="655">
                  <c:v>6.1733410085116613</c:v>
                </c:pt>
                <c:pt idx="656">
                  <c:v>6.1347959881311542</c:v>
                </c:pt>
                <c:pt idx="657">
                  <c:v>6.0960611404237568</c:v>
                </c:pt>
                <c:pt idx="658">
                  <c:v>6.0571442451589252</c:v>
                </c:pt>
                <c:pt idx="659">
                  <c:v>6.0180529481840637</c:v>
                </c:pt>
                <c:pt idx="660">
                  <c:v>5.9787947654109743</c:v>
                </c:pt>
                <c:pt idx="661">
                  <c:v>5.939377086580798</c:v>
                </c:pt>
                <c:pt idx="662">
                  <c:v>5.8998071788202893</c:v>
                </c:pt>
                <c:pt idx="663">
                  <c:v>5.8600921900016862</c:v>
                </c:pt>
                <c:pt idx="664">
                  <c:v>5.8202391519175709</c:v>
                </c:pt>
                <c:pt idx="665">
                  <c:v>5.7802549832815311</c:v>
                </c:pt>
                <c:pt idx="666">
                  <c:v>5.7401464925647314</c:v>
                </c:pt>
                <c:pt idx="667">
                  <c:v>5.6999203806780319</c:v>
                </c:pt>
                <c:pt idx="668">
                  <c:v>5.6595832435085711</c:v>
                </c:pt>
                <c:pt idx="669">
                  <c:v>5.6191415743193733</c:v>
                </c:pt>
                <c:pt idx="670">
                  <c:v>5.5786017660198963</c:v>
                </c:pt>
                <c:pt idx="671">
                  <c:v>5.5379701133151498</c:v>
                </c:pt>
                <c:pt idx="672">
                  <c:v>5.4972528147404445</c:v>
                </c:pt>
                <c:pt idx="673">
                  <c:v>5.4564559745884607</c:v>
                </c:pt>
                <c:pt idx="674">
                  <c:v>5.4155856047350035</c:v>
                </c:pt>
                <c:pt idx="675">
                  <c:v>5.3746476263693719</c:v>
                </c:pt>
                <c:pt idx="676">
                  <c:v>5.3336478716350326</c:v>
                </c:pt>
                <c:pt idx="677">
                  <c:v>5.2925920851858406</c:v>
                </c:pt>
                <c:pt idx="678">
                  <c:v>5.2514859256628839</c:v>
                </c:pt>
                <c:pt idx="679">
                  <c:v>5.2103349670966681</c:v>
                </c:pt>
                <c:pt idx="680">
                  <c:v>5.1691447002391229</c:v>
                </c:pt>
                <c:pt idx="681">
                  <c:v>5.1279205338296459</c:v>
                </c:pt>
                <c:pt idx="682">
                  <c:v>5.0866677957992037</c:v>
                </c:pt>
                <c:pt idx="683">
                  <c:v>5.045391734416242</c:v>
                </c:pt>
                <c:pt idx="684">
                  <c:v>5.0040975193779618</c:v>
                </c:pt>
                <c:pt idx="685">
                  <c:v>4.9627902428503665</c:v>
                </c:pt>
                <c:pt idx="686">
                  <c:v>4.9214749204602448</c:v>
                </c:pt>
                <c:pt idx="687">
                  <c:v>4.8801564922420546</c:v>
                </c:pt>
                <c:pt idx="688">
                  <c:v>4.8388398235426466</c:v>
                </c:pt>
                <c:pt idx="689">
                  <c:v>4.7975297058864292</c:v>
                </c:pt>
                <c:pt idx="690">
                  <c:v>4.7562308578035566</c:v>
                </c:pt>
                <c:pt idx="691">
                  <c:v>4.714947925623532</c:v>
                </c:pt>
                <c:pt idx="692">
                  <c:v>4.6736854842364988</c:v>
                </c:pt>
                <c:pt idx="693">
                  <c:v>4.6324480378243598</c:v>
                </c:pt>
                <c:pt idx="694">
                  <c:v>4.591240020563764</c:v>
                </c:pt>
                <c:pt idx="695">
                  <c:v>4.5500657973028442</c:v>
                </c:pt>
                <c:pt idx="696">
                  <c:v>4.5089296642135661</c:v>
                </c:pt>
                <c:pt idx="697">
                  <c:v>4.4678358494213475</c:v>
                </c:pt>
                <c:pt idx="698">
                  <c:v>4.426788513613598</c:v>
                </c:pt>
                <c:pt idx="699">
                  <c:v>4.3857917506286963</c:v>
                </c:pt>
                <c:pt idx="700">
                  <c:v>4.3448495880268361</c:v>
                </c:pt>
                <c:pt idx="701">
                  <c:v>4.3039659876441005</c:v>
                </c:pt>
                <c:pt idx="702">
                  <c:v>4.2631448461310502</c:v>
                </c:pt>
                <c:pt idx="703">
                  <c:v>4.2223899954770712</c:v>
                </c:pt>
                <c:pt idx="704">
                  <c:v>4.1817052035215525</c:v>
                </c:pt>
                <c:pt idx="705">
                  <c:v>4.1410941744530296</c:v>
                </c:pt>
                <c:pt idx="706">
                  <c:v>4.1005605492972794</c:v>
                </c:pt>
                <c:pt idx="707">
                  <c:v>4.0601079063953476</c:v>
                </c:pt>
                <c:pt idx="708">
                  <c:v>4.0197397618723629</c:v>
                </c:pt>
                <c:pt idx="709">
                  <c:v>3.9794595700980304</c:v>
                </c:pt>
                <c:pt idx="710">
                  <c:v>3.939270724139595</c:v>
                </c:pt>
                <c:pt idx="711">
                  <c:v>3.8991765562079763</c:v>
                </c:pt>
                <c:pt idx="712">
                  <c:v>3.8591803380978265</c:v>
                </c:pt>
                <c:pt idx="713">
                  <c:v>3.8192852816221894</c:v>
                </c:pt>
                <c:pt idx="714">
                  <c:v>3.7794945390422718</c:v>
                </c:pt>
                <c:pt idx="715">
                  <c:v>3.7398112034930282</c:v>
                </c:pt>
                <c:pt idx="716">
                  <c:v>3.7002383094050684</c:v>
                </c:pt>
                <c:pt idx="717">
                  <c:v>3.6607788329233122</c:v>
                </c:pt>
                <c:pt idx="718">
                  <c:v>3.6607396076764074</c:v>
                </c:pt>
                <c:pt idx="719">
                  <c:v>3.6607003825453459</c:v>
                </c:pt>
                <c:pt idx="720">
                  <c:v>3.6606611575301358</c:v>
                </c:pt>
                <c:pt idx="721">
                  <c:v>3.6606219326307787</c:v>
                </c:pt>
                <c:pt idx="722">
                  <c:v>3.660582707847281</c:v>
                </c:pt>
                <c:pt idx="723">
                  <c:v>3.66054348317964</c:v>
                </c:pt>
                <c:pt idx="724">
                  <c:v>3.6605042586278556</c:v>
                </c:pt>
                <c:pt idx="725">
                  <c:v>3.6604650341919447</c:v>
                </c:pt>
                <c:pt idx="726">
                  <c:v>3.6604258098718976</c:v>
                </c:pt>
                <c:pt idx="727">
                  <c:v>3.6603865856677169</c:v>
                </c:pt>
                <c:pt idx="728">
                  <c:v>3.660347361579416</c:v>
                </c:pt>
                <c:pt idx="729">
                  <c:v>3.6603081376069886</c:v>
                </c:pt>
                <c:pt idx="730">
                  <c:v>3.6602689137504392</c:v>
                </c:pt>
                <c:pt idx="731">
                  <c:v>3.6602296900097713</c:v>
                </c:pt>
                <c:pt idx="732">
                  <c:v>3.6601904663849911</c:v>
                </c:pt>
                <c:pt idx="733">
                  <c:v>3.6601512428760934</c:v>
                </c:pt>
                <c:pt idx="734">
                  <c:v>3.6601120194830923</c:v>
                </c:pt>
                <c:pt idx="735">
                  <c:v>3.6600727962059807</c:v>
                </c:pt>
                <c:pt idx="736">
                  <c:v>3.6600335730447684</c:v>
                </c:pt>
                <c:pt idx="737">
                  <c:v>3.6599943499994509</c:v>
                </c:pt>
                <c:pt idx="738">
                  <c:v>3.6599551270700346</c:v>
                </c:pt>
                <c:pt idx="739">
                  <c:v>3.6599159042565219</c:v>
                </c:pt>
                <c:pt idx="740">
                  <c:v>3.6598766815589245</c:v>
                </c:pt>
                <c:pt idx="741">
                  <c:v>3.65983745897723</c:v>
                </c:pt>
                <c:pt idx="742">
                  <c:v>3.6597982365114499</c:v>
                </c:pt>
                <c:pt idx="743">
                  <c:v>3.6597590141615894</c:v>
                </c:pt>
                <c:pt idx="744">
                  <c:v>3.6597197919276434</c:v>
                </c:pt>
                <c:pt idx="745">
                  <c:v>3.659680569809618</c:v>
                </c:pt>
                <c:pt idx="746">
                  <c:v>3.6596413478075212</c:v>
                </c:pt>
                <c:pt idx="747">
                  <c:v>3.659602125921352</c:v>
                </c:pt>
                <c:pt idx="748">
                  <c:v>3.6595629041511089</c:v>
                </c:pt>
                <c:pt idx="749">
                  <c:v>3.6595236824968032</c:v>
                </c:pt>
                <c:pt idx="750">
                  <c:v>3.6594844609584305</c:v>
                </c:pt>
                <c:pt idx="751">
                  <c:v>3.6594452395359971</c:v>
                </c:pt>
                <c:pt idx="752">
                  <c:v>3.6594060182295056</c:v>
                </c:pt>
                <c:pt idx="753">
                  <c:v>3.6593667970389578</c:v>
                </c:pt>
                <c:pt idx="754">
                  <c:v>3.6593275759643573</c:v>
                </c:pt>
                <c:pt idx="755">
                  <c:v>3.6592883550057076</c:v>
                </c:pt>
                <c:pt idx="756">
                  <c:v>3.6592491341630105</c:v>
                </c:pt>
                <c:pt idx="757">
                  <c:v>3.6592099134362686</c:v>
                </c:pt>
                <c:pt idx="758">
                  <c:v>3.6591706928254899</c:v>
                </c:pt>
                <c:pt idx="759">
                  <c:v>3.6591314723306692</c:v>
                </c:pt>
                <c:pt idx="760">
                  <c:v>3.659092251951809</c:v>
                </c:pt>
                <c:pt idx="761">
                  <c:v>3.6590530316889245</c:v>
                </c:pt>
                <c:pt idx="762">
                  <c:v>3.659013811542005</c:v>
                </c:pt>
                <c:pt idx="763">
                  <c:v>3.6589745915110523</c:v>
                </c:pt>
                <c:pt idx="764">
                  <c:v>3.6589353715960815</c:v>
                </c:pt>
                <c:pt idx="765">
                  <c:v>3.658896151797089</c:v>
                </c:pt>
                <c:pt idx="766">
                  <c:v>3.658856932114082</c:v>
                </c:pt>
                <c:pt idx="767">
                  <c:v>3.6588177125470542</c:v>
                </c:pt>
                <c:pt idx="768">
                  <c:v>3.6587784930960137</c:v>
                </c:pt>
                <c:pt idx="769">
                  <c:v>3.658739273760963</c:v>
                </c:pt>
                <c:pt idx="770">
                  <c:v>3.6587000545419039</c:v>
                </c:pt>
                <c:pt idx="771">
                  <c:v>3.6586608354388446</c:v>
                </c:pt>
                <c:pt idx="772">
                  <c:v>3.6586216164517804</c:v>
                </c:pt>
                <c:pt idx="773">
                  <c:v>3.6585823975807177</c:v>
                </c:pt>
                <c:pt idx="774">
                  <c:v>3.6585431788256626</c:v>
                </c:pt>
                <c:pt idx="775">
                  <c:v>3.6585039601866116</c:v>
                </c:pt>
                <c:pt idx="776">
                  <c:v>3.6584647416635683</c:v>
                </c:pt>
                <c:pt idx="777">
                  <c:v>3.6584255232565388</c:v>
                </c:pt>
                <c:pt idx="778">
                  <c:v>3.658386304965525</c:v>
                </c:pt>
                <c:pt idx="779">
                  <c:v>3.6583470867905312</c:v>
                </c:pt>
                <c:pt idx="780">
                  <c:v>3.6583078687315576</c:v>
                </c:pt>
                <c:pt idx="781">
                  <c:v>3.6582686507886057</c:v>
                </c:pt>
                <c:pt idx="782">
                  <c:v>3.6582294329616838</c:v>
                </c:pt>
                <c:pt idx="783">
                  <c:v>3.6581902152507917</c:v>
                </c:pt>
                <c:pt idx="784">
                  <c:v>3.658150997655933</c:v>
                </c:pt>
                <c:pt idx="785">
                  <c:v>3.658111780177105</c:v>
                </c:pt>
                <c:pt idx="786">
                  <c:v>3.6580725628143185</c:v>
                </c:pt>
                <c:pt idx="787">
                  <c:v>3.6580333455675733</c:v>
                </c:pt>
                <c:pt idx="788">
                  <c:v>3.6579941284368704</c:v>
                </c:pt>
                <c:pt idx="789">
                  <c:v>3.6579549114222116</c:v>
                </c:pt>
                <c:pt idx="790">
                  <c:v>3.6579156945236102</c:v>
                </c:pt>
                <c:pt idx="791">
                  <c:v>3.6578764777410546</c:v>
                </c:pt>
                <c:pt idx="792">
                  <c:v>3.6578372610745582</c:v>
                </c:pt>
                <c:pt idx="793">
                  <c:v>3.6577980445241218</c:v>
                </c:pt>
                <c:pt idx="794">
                  <c:v>3.6577588280897402</c:v>
                </c:pt>
                <c:pt idx="795">
                  <c:v>3.6577196117714239</c:v>
                </c:pt>
                <c:pt idx="796">
                  <c:v>3.657680395569173</c:v>
                </c:pt>
                <c:pt idx="797">
                  <c:v>3.6576411794829946</c:v>
                </c:pt>
                <c:pt idx="798">
                  <c:v>3.6576019635128869</c:v>
                </c:pt>
                <c:pt idx="799">
                  <c:v>3.6575627476588535</c:v>
                </c:pt>
                <c:pt idx="800">
                  <c:v>3.6575235319209032</c:v>
                </c:pt>
                <c:pt idx="801">
                  <c:v>3.6574843162990307</c:v>
                </c:pt>
                <c:pt idx="802">
                  <c:v>3.6574451007932414</c:v>
                </c:pt>
                <c:pt idx="803">
                  <c:v>3.6574058854035423</c:v>
                </c:pt>
                <c:pt idx="804">
                  <c:v>3.657366670129929</c:v>
                </c:pt>
                <c:pt idx="805">
                  <c:v>3.6573274549724077</c:v>
                </c:pt>
                <c:pt idx="806">
                  <c:v>3.6572882399309821</c:v>
                </c:pt>
                <c:pt idx="807">
                  <c:v>3.6572490250056555</c:v>
                </c:pt>
                <c:pt idx="808">
                  <c:v>3.6572098101964299</c:v>
                </c:pt>
                <c:pt idx="809">
                  <c:v>3.6571705955032998</c:v>
                </c:pt>
                <c:pt idx="810">
                  <c:v>3.657131380926284</c:v>
                </c:pt>
                <c:pt idx="811">
                  <c:v>3.6570921664653779</c:v>
                </c:pt>
                <c:pt idx="812">
                  <c:v>3.6570529521205799</c:v>
                </c:pt>
                <c:pt idx="813">
                  <c:v>3.6570137378918979</c:v>
                </c:pt>
                <c:pt idx="814">
                  <c:v>3.656974523779339</c:v>
                </c:pt>
                <c:pt idx="815">
                  <c:v>3.6569353097828969</c:v>
                </c:pt>
                <c:pt idx="816">
                  <c:v>3.6568960959025816</c:v>
                </c:pt>
                <c:pt idx="817">
                  <c:v>3.6568568821383849</c:v>
                </c:pt>
                <c:pt idx="818">
                  <c:v>3.6568176684903229</c:v>
                </c:pt>
                <c:pt idx="819">
                  <c:v>3.6567784549583893</c:v>
                </c:pt>
                <c:pt idx="820">
                  <c:v>3.6567392415425948</c:v>
                </c:pt>
                <c:pt idx="821">
                  <c:v>3.6567000282429358</c:v>
                </c:pt>
                <c:pt idx="822">
                  <c:v>3.6566608150594115</c:v>
                </c:pt>
                <c:pt idx="823">
                  <c:v>3.6566216019920406</c:v>
                </c:pt>
                <c:pt idx="824">
                  <c:v>3.6565823890408122</c:v>
                </c:pt>
                <c:pt idx="825">
                  <c:v>3.6565431762057319</c:v>
                </c:pt>
                <c:pt idx="826">
                  <c:v>3.6565039634868031</c:v>
                </c:pt>
                <c:pt idx="827">
                  <c:v>3.6564647508840311</c:v>
                </c:pt>
                <c:pt idx="828">
                  <c:v>3.6564255383974098</c:v>
                </c:pt>
                <c:pt idx="829">
                  <c:v>3.656386326026956</c:v>
                </c:pt>
                <c:pt idx="830">
                  <c:v>3.6563471137726644</c:v>
                </c:pt>
                <c:pt idx="831">
                  <c:v>3.6563079016345403</c:v>
                </c:pt>
                <c:pt idx="832">
                  <c:v>3.656268689612582</c:v>
                </c:pt>
                <c:pt idx="833">
                  <c:v>3.6562294777067974</c:v>
                </c:pt>
                <c:pt idx="834">
                  <c:v>3.6561902659171874</c:v>
                </c:pt>
                <c:pt idx="835">
                  <c:v>3.6561510542437539</c:v>
                </c:pt>
                <c:pt idx="836">
                  <c:v>3.6561118426864994</c:v>
                </c:pt>
                <c:pt idx="837">
                  <c:v>3.6560726312454301</c:v>
                </c:pt>
                <c:pt idx="838">
                  <c:v>3.6560334199205471</c:v>
                </c:pt>
                <c:pt idx="839">
                  <c:v>3.6559942087118529</c:v>
                </c:pt>
                <c:pt idx="840">
                  <c:v>3.6559549976193466</c:v>
                </c:pt>
                <c:pt idx="841">
                  <c:v>3.6559157866430381</c:v>
                </c:pt>
                <c:pt idx="842">
                  <c:v>3.6558765757829281</c:v>
                </c:pt>
                <c:pt idx="843">
                  <c:v>3.6558373650390132</c:v>
                </c:pt>
                <c:pt idx="844">
                  <c:v>3.6557981544113094</c:v>
                </c:pt>
                <c:pt idx="845">
                  <c:v>3.6557589438998077</c:v>
                </c:pt>
                <c:pt idx="846">
                  <c:v>3.6557197335045091</c:v>
                </c:pt>
                <c:pt idx="847">
                  <c:v>3.6556805232254286</c:v>
                </c:pt>
                <c:pt idx="848">
                  <c:v>3.6556413130625582</c:v>
                </c:pt>
                <c:pt idx="849">
                  <c:v>3.6556021030159087</c:v>
                </c:pt>
                <c:pt idx="850">
                  <c:v>3.6555628930854773</c:v>
                </c:pt>
                <c:pt idx="851">
                  <c:v>3.6555236832712703</c:v>
                </c:pt>
                <c:pt idx="852">
                  <c:v>3.6554844735732877</c:v>
                </c:pt>
                <c:pt idx="853">
                  <c:v>3.6554452639915338</c:v>
                </c:pt>
                <c:pt idx="854">
                  <c:v>3.655406054526015</c:v>
                </c:pt>
                <c:pt idx="855">
                  <c:v>3.6553668451767267</c:v>
                </c:pt>
                <c:pt idx="856">
                  <c:v>3.6553276359436699</c:v>
                </c:pt>
                <c:pt idx="857">
                  <c:v>3.6552884268268606</c:v>
                </c:pt>
                <c:pt idx="858">
                  <c:v>3.655249217826289</c:v>
                </c:pt>
                <c:pt idx="859">
                  <c:v>3.6552100089419675</c:v>
                </c:pt>
                <c:pt idx="860">
                  <c:v>3.6551708001738952</c:v>
                </c:pt>
                <c:pt idx="861">
                  <c:v>3.6551315915220695</c:v>
                </c:pt>
                <c:pt idx="862">
                  <c:v>3.6550923829864992</c:v>
                </c:pt>
                <c:pt idx="863">
                  <c:v>3.6550531745671853</c:v>
                </c:pt>
                <c:pt idx="864">
                  <c:v>3.6550139662641303</c:v>
                </c:pt>
                <c:pt idx="865">
                  <c:v>3.6549747580773415</c:v>
                </c:pt>
                <c:pt idx="866">
                  <c:v>3.6549355500068161</c:v>
                </c:pt>
                <c:pt idx="867">
                  <c:v>3.6548963420525586</c:v>
                </c:pt>
                <c:pt idx="868">
                  <c:v>3.6548571342145744</c:v>
                </c:pt>
                <c:pt idx="869">
                  <c:v>3.6548179264928589</c:v>
                </c:pt>
                <c:pt idx="870">
                  <c:v>3.654778718887429</c:v>
                </c:pt>
                <c:pt idx="871">
                  <c:v>3.654739511398275</c:v>
                </c:pt>
                <c:pt idx="872">
                  <c:v>3.6547003040254005</c:v>
                </c:pt>
                <c:pt idx="873">
                  <c:v>3.6546610967688125</c:v>
                </c:pt>
                <c:pt idx="874">
                  <c:v>3.6546218896285163</c:v>
                </c:pt>
                <c:pt idx="875">
                  <c:v>3.6545826826045094</c:v>
                </c:pt>
                <c:pt idx="876">
                  <c:v>3.6545434756967934</c:v>
                </c:pt>
                <c:pt idx="877">
                  <c:v>3.6545042689053755</c:v>
                </c:pt>
                <c:pt idx="878">
                  <c:v>3.6544650622302584</c:v>
                </c:pt>
                <c:pt idx="879">
                  <c:v>3.654425855671442</c:v>
                </c:pt>
                <c:pt idx="880">
                  <c:v>3.6543866492289308</c:v>
                </c:pt>
                <c:pt idx="881">
                  <c:v>3.6543474429027292</c:v>
                </c:pt>
                <c:pt idx="882">
                  <c:v>3.6543082366928399</c:v>
                </c:pt>
                <c:pt idx="883">
                  <c:v>3.6542690305992576</c:v>
                </c:pt>
                <c:pt idx="884">
                  <c:v>3.6542298246219946</c:v>
                </c:pt>
                <c:pt idx="885">
                  <c:v>3.6541906187610547</c:v>
                </c:pt>
                <c:pt idx="886">
                  <c:v>3.6541514130164359</c:v>
                </c:pt>
                <c:pt idx="887">
                  <c:v>3.6541122073881409</c:v>
                </c:pt>
                <c:pt idx="888">
                  <c:v>3.6540730018761716</c:v>
                </c:pt>
                <c:pt idx="889">
                  <c:v>3.6540337964805358</c:v>
                </c:pt>
                <c:pt idx="890">
                  <c:v>3.6539945912012373</c:v>
                </c:pt>
                <c:pt idx="891">
                  <c:v>3.6539553860382652</c:v>
                </c:pt>
                <c:pt idx="892">
                  <c:v>3.6539161809916436</c:v>
                </c:pt>
                <c:pt idx="893">
                  <c:v>3.6538769760613565</c:v>
                </c:pt>
                <c:pt idx="894">
                  <c:v>3.6538377712474146</c:v>
                </c:pt>
                <c:pt idx="895">
                  <c:v>3.653798566549824</c:v>
                </c:pt>
                <c:pt idx="896">
                  <c:v>3.6537593619685795</c:v>
                </c:pt>
                <c:pt idx="897">
                  <c:v>3.6537201575036891</c:v>
                </c:pt>
                <c:pt idx="898">
                  <c:v>3.6536809531551562</c:v>
                </c:pt>
                <c:pt idx="899">
                  <c:v>3.6536417489229844</c:v>
                </c:pt>
                <c:pt idx="900">
                  <c:v>3.6536025448071721</c:v>
                </c:pt>
                <c:pt idx="901">
                  <c:v>3.6535633408077279</c:v>
                </c:pt>
                <c:pt idx="902">
                  <c:v>3.6535241369246432</c:v>
                </c:pt>
                <c:pt idx="903">
                  <c:v>3.6534849331579355</c:v>
                </c:pt>
                <c:pt idx="904">
                  <c:v>3.6534457295076024</c:v>
                </c:pt>
                <c:pt idx="905">
                  <c:v>3.6534065259736428</c:v>
                </c:pt>
                <c:pt idx="906">
                  <c:v>3.6533673225560648</c:v>
                </c:pt>
                <c:pt idx="907">
                  <c:v>3.6533281192548648</c:v>
                </c:pt>
                <c:pt idx="908">
                  <c:v>3.6532889160700508</c:v>
                </c:pt>
                <c:pt idx="909">
                  <c:v>3.6532497130016246</c:v>
                </c:pt>
                <c:pt idx="910">
                  <c:v>3.6532105100495862</c:v>
                </c:pt>
                <c:pt idx="911">
                  <c:v>3.6531713072139445</c:v>
                </c:pt>
                <c:pt idx="912">
                  <c:v>3.6531321044946976</c:v>
                </c:pt>
                <c:pt idx="913">
                  <c:v>3.6530929018918465</c:v>
                </c:pt>
                <c:pt idx="914">
                  <c:v>3.6530536994054019</c:v>
                </c:pt>
                <c:pt idx="915">
                  <c:v>3.653014497035354</c:v>
                </c:pt>
                <c:pt idx="916">
                  <c:v>3.6529752947817222</c:v>
                </c:pt>
                <c:pt idx="917">
                  <c:v>3.6529360926444907</c:v>
                </c:pt>
                <c:pt idx="918">
                  <c:v>3.6528968906236816</c:v>
                </c:pt>
                <c:pt idx="919">
                  <c:v>3.6528576887192852</c:v>
                </c:pt>
                <c:pt idx="920">
                  <c:v>3.6528184869313058</c:v>
                </c:pt>
                <c:pt idx="921">
                  <c:v>3.6527792852597472</c:v>
                </c:pt>
                <c:pt idx="922">
                  <c:v>3.6527400837046153</c:v>
                </c:pt>
                <c:pt idx="923">
                  <c:v>3.6527008822659113</c:v>
                </c:pt>
                <c:pt idx="924">
                  <c:v>3.6526616809436341</c:v>
                </c:pt>
                <c:pt idx="925">
                  <c:v>3.6526224797377935</c:v>
                </c:pt>
                <c:pt idx="926">
                  <c:v>3.6525832786483843</c:v>
                </c:pt>
                <c:pt idx="927">
                  <c:v>3.6525440776754197</c:v>
                </c:pt>
                <c:pt idx="928">
                  <c:v>3.6525048768188917</c:v>
                </c:pt>
                <c:pt idx="929">
                  <c:v>3.6524656760788083</c:v>
                </c:pt>
                <c:pt idx="930">
                  <c:v>3.6524264754551732</c:v>
                </c:pt>
                <c:pt idx="931">
                  <c:v>3.6523872749479862</c:v>
                </c:pt>
                <c:pt idx="932">
                  <c:v>3.652348074557251</c:v>
                </c:pt>
                <c:pt idx="933">
                  <c:v>3.6523088742829746</c:v>
                </c:pt>
                <c:pt idx="934">
                  <c:v>3.6522696741251561</c:v>
                </c:pt>
                <c:pt idx="935">
                  <c:v>3.6522304740837965</c:v>
                </c:pt>
                <c:pt idx="936">
                  <c:v>3.652191274158902</c:v>
                </c:pt>
                <c:pt idx="937">
                  <c:v>3.6521520743504707</c:v>
                </c:pt>
                <c:pt idx="938">
                  <c:v>3.6521128746585161</c:v>
                </c:pt>
                <c:pt idx="939">
                  <c:v>3.65207367508303</c:v>
                </c:pt>
                <c:pt idx="940">
                  <c:v>3.6520344756240197</c:v>
                </c:pt>
                <c:pt idx="941">
                  <c:v>3.6519952762814896</c:v>
                </c:pt>
                <c:pt idx="942">
                  <c:v>3.651956077055436</c:v>
                </c:pt>
                <c:pt idx="943">
                  <c:v>3.6519168779458662</c:v>
                </c:pt>
                <c:pt idx="944">
                  <c:v>3.6518776789527863</c:v>
                </c:pt>
                <c:pt idx="945">
                  <c:v>3.6518384800761936</c:v>
                </c:pt>
                <c:pt idx="946">
                  <c:v>3.6517992813160953</c:v>
                </c:pt>
                <c:pt idx="947">
                  <c:v>3.6517600826724905</c:v>
                </c:pt>
                <c:pt idx="948">
                  <c:v>3.651720884145381</c:v>
                </c:pt>
                <c:pt idx="949">
                  <c:v>3.6516816857347765</c:v>
                </c:pt>
                <c:pt idx="950">
                  <c:v>3.6516424874406725</c:v>
                </c:pt>
                <c:pt idx="951">
                  <c:v>3.6516032892630825</c:v>
                </c:pt>
                <c:pt idx="952">
                  <c:v>3.6515640912019922</c:v>
                </c:pt>
                <c:pt idx="953">
                  <c:v>3.6515248932574229</c:v>
                </c:pt>
                <c:pt idx="954">
                  <c:v>3.6514856954293604</c:v>
                </c:pt>
                <c:pt idx="955">
                  <c:v>3.6514464977178207</c:v>
                </c:pt>
                <c:pt idx="956">
                  <c:v>3.651407300122802</c:v>
                </c:pt>
                <c:pt idx="957">
                  <c:v>3.6513681026443017</c:v>
                </c:pt>
                <c:pt idx="958">
                  <c:v>3.6513289052823312</c:v>
                </c:pt>
                <c:pt idx="959">
                  <c:v>3.6512897080368898</c:v>
                </c:pt>
                <c:pt idx="960">
                  <c:v>3.6512505109079809</c:v>
                </c:pt>
                <c:pt idx="961">
                  <c:v>3.6512113138956046</c:v>
                </c:pt>
                <c:pt idx="962">
                  <c:v>3.651172116999768</c:v>
                </c:pt>
                <c:pt idx="963">
                  <c:v>3.651132920220471</c:v>
                </c:pt>
                <c:pt idx="964">
                  <c:v>3.6510937235577208</c:v>
                </c:pt>
                <c:pt idx="965">
                  <c:v>3.651054527011512</c:v>
                </c:pt>
                <c:pt idx="966">
                  <c:v>3.6510153305818509</c:v>
                </c:pt>
                <c:pt idx="967">
                  <c:v>3.6509761342687481</c:v>
                </c:pt>
                <c:pt idx="968">
                  <c:v>3.6509369380721965</c:v>
                </c:pt>
                <c:pt idx="969">
                  <c:v>3.6508977419922015</c:v>
                </c:pt>
                <c:pt idx="970">
                  <c:v>3.6508585460287657</c:v>
                </c:pt>
                <c:pt idx="971">
                  <c:v>3.6508193501818953</c:v>
                </c:pt>
                <c:pt idx="972">
                  <c:v>3.6507801544515859</c:v>
                </c:pt>
                <c:pt idx="973">
                  <c:v>3.650740958837849</c:v>
                </c:pt>
                <c:pt idx="974">
                  <c:v>3.6507017633406846</c:v>
                </c:pt>
                <c:pt idx="975">
                  <c:v>3.6506625679600919</c:v>
                </c:pt>
                <c:pt idx="976">
                  <c:v>3.6506233726960824</c:v>
                </c:pt>
                <c:pt idx="977">
                  <c:v>3.6505841775486481</c:v>
                </c:pt>
                <c:pt idx="978">
                  <c:v>3.650544982517796</c:v>
                </c:pt>
                <c:pt idx="979">
                  <c:v>3.6505057876035272</c:v>
                </c:pt>
                <c:pt idx="980">
                  <c:v>3.6504665928058531</c:v>
                </c:pt>
                <c:pt idx="981">
                  <c:v>3.650427398124771</c:v>
                </c:pt>
                <c:pt idx="982">
                  <c:v>3.6503882035602766</c:v>
                </c:pt>
                <c:pt idx="983">
                  <c:v>3.6503490091123867</c:v>
                </c:pt>
                <c:pt idx="984">
                  <c:v>3.6503098147810924</c:v>
                </c:pt>
                <c:pt idx="985">
                  <c:v>3.6502706205664017</c:v>
                </c:pt>
                <c:pt idx="986">
                  <c:v>3.6502314264683156</c:v>
                </c:pt>
                <c:pt idx="987">
                  <c:v>3.6501922324868428</c:v>
                </c:pt>
                <c:pt idx="988">
                  <c:v>3.6501530386219772</c:v>
                </c:pt>
                <c:pt idx="989">
                  <c:v>3.650113844873724</c:v>
                </c:pt>
                <c:pt idx="990">
                  <c:v>3.6500746512420932</c:v>
                </c:pt>
                <c:pt idx="991">
                  <c:v>3.6500354577270775</c:v>
                </c:pt>
                <c:pt idx="992">
                  <c:v>3.6499962643286858</c:v>
                </c:pt>
                <c:pt idx="993">
                  <c:v>3.6499570710469174</c:v>
                </c:pt>
                <c:pt idx="994">
                  <c:v>3.6499178778817809</c:v>
                </c:pt>
                <c:pt idx="995">
                  <c:v>3.6498786848332774</c:v>
                </c:pt>
                <c:pt idx="996">
                  <c:v>3.6498394919013997</c:v>
                </c:pt>
                <c:pt idx="997">
                  <c:v>3.6498002990861638</c:v>
                </c:pt>
                <c:pt idx="998">
                  <c:v>3.6497611063875652</c:v>
                </c:pt>
                <c:pt idx="999">
                  <c:v>3.6497219138056112</c:v>
                </c:pt>
                <c:pt idx="1000">
                  <c:v>3.6496827213403034</c:v>
                </c:pt>
              </c:numCache>
            </c:numRef>
          </c:yVal>
          <c:smooth val="0"/>
          <c:extLst>
            <c:ext xmlns:c16="http://schemas.microsoft.com/office/drawing/2014/chart" uri="{C3380CC4-5D6E-409C-BE32-E72D297353CC}">
              <c16:uniqueId val="{00000000-1381-4C26-9364-ABD4810FE6CB}"/>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Calculs!$AH$4:$AH$1004</c:f>
              <c:numCache>
                <c:formatCode>0.00</c:formatCode>
                <c:ptCount val="1001"/>
                <c:pt idx="0">
                  <c:v>0</c:v>
                </c:pt>
                <c:pt idx="1">
                  <c:v>9.6609640570497604</c:v>
                </c:pt>
                <c:pt idx="2">
                  <c:v>27.666452808155967</c:v>
                </c:pt>
                <c:pt idx="3">
                  <c:v>46.12141828020777</c:v>
                </c:pt>
                <c:pt idx="4">
                  <c:v>64.590844078078902</c:v>
                </c:pt>
                <c:pt idx="5">
                  <c:v>83.079762225895337</c:v>
                </c:pt>
                <c:pt idx="6">
                  <c:v>92.243838199734881</c:v>
                </c:pt>
                <c:pt idx="7">
                  <c:v>92.066965911879535</c:v>
                </c:pt>
                <c:pt idx="8">
                  <c:v>91.889441367029335</c:v>
                </c:pt>
                <c:pt idx="9">
                  <c:v>91.7112667810934</c:v>
                </c:pt>
                <c:pt idx="10">
                  <c:v>91.532444387021428</c:v>
                </c:pt>
                <c:pt idx="11">
                  <c:v>91.352976434671504</c:v>
                </c:pt>
                <c:pt idx="12">
                  <c:v>91.172865190676873</c:v>
                </c:pt>
                <c:pt idx="13">
                  <c:v>90.992112938311564</c:v>
                </c:pt>
                <c:pt idx="14">
                  <c:v>90.810721977355158</c:v>
                </c:pt>
                <c:pt idx="15">
                  <c:v>90.628694623956363</c:v>
                </c:pt>
                <c:pt idx="16">
                  <c:v>90.446033210495756</c:v>
                </c:pt>
                <c:pt idx="17">
                  <c:v>90.26274008544739</c:v>
                </c:pt>
                <c:pt idx="18">
                  <c:v>90.078817613239536</c:v>
                </c:pt>
                <c:pt idx="19">
                  <c:v>89.894268174114401</c:v>
                </c:pt>
                <c:pt idx="20">
                  <c:v>89.709094163986961</c:v>
                </c:pt>
                <c:pt idx="21">
                  <c:v>89.523297994302837</c:v>
                </c:pt>
                <c:pt idx="22">
                  <c:v>89.336882091895248</c:v>
                </c:pt>
                <c:pt idx="23">
                  <c:v>89.149848898841142</c:v>
                </c:pt>
                <c:pt idx="24">
                  <c:v>88.962200872316302</c:v>
                </c:pt>
                <c:pt idx="25">
                  <c:v>88.773940484449724</c:v>
                </c:pt>
                <c:pt idx="26">
                  <c:v>88.585070222177109</c:v>
                </c:pt>
                <c:pt idx="27">
                  <c:v>88.395592587093518</c:v>
                </c:pt>
                <c:pt idx="28">
                  <c:v>88.205510095305115</c:v>
                </c:pt>
                <c:pt idx="29">
                  <c:v>88.014825277280252</c:v>
                </c:pt>
                <c:pt idx="30">
                  <c:v>87.823540677699697</c:v>
                </c:pt>
                <c:pt idx="31">
                  <c:v>87.631658855306142</c:v>
                </c:pt>
                <c:pt idx="32">
                  <c:v>87.43918238275279</c:v>
                </c:pt>
                <c:pt idx="33">
                  <c:v>87.246113846451379</c:v>
                </c:pt>
                <c:pt idx="34">
                  <c:v>87.052455846419463</c:v>
                </c:pt>
                <c:pt idx="35">
                  <c:v>86.858210996126928</c:v>
                </c:pt>
                <c:pt idx="36">
                  <c:v>86.663381922341742</c:v>
                </c:pt>
                <c:pt idx="37">
                  <c:v>86.467971182794841</c:v>
                </c:pt>
                <c:pt idx="38">
                  <c:v>86.271981334984034</c:v>
                </c:pt>
                <c:pt idx="39">
                  <c:v>86.075415033539372</c:v>
                </c:pt>
                <c:pt idx="40">
                  <c:v>85.878274946027958</c:v>
                </c:pt>
                <c:pt idx="41">
                  <c:v>85.680563752785659</c:v>
                </c:pt>
                <c:pt idx="42">
                  <c:v>85.482284146748256</c:v>
                </c:pt>
                <c:pt idx="43">
                  <c:v>85.283438833283</c:v>
                </c:pt>
                <c:pt idx="44">
                  <c:v>85.084030530020087</c:v>
                </c:pt>
                <c:pt idx="45">
                  <c:v>84.884061966684484</c:v>
                </c:pt>
                <c:pt idx="46">
                  <c:v>84.683535884927622</c:v>
                </c:pt>
                <c:pt idx="47">
                  <c:v>84.482455038159273</c:v>
                </c:pt>
                <c:pt idx="48">
                  <c:v>84.280822191379443</c:v>
                </c:pt>
                <c:pt idx="49">
                  <c:v>84.078640121009997</c:v>
                </c:pt>
                <c:pt idx="50">
                  <c:v>83.875911614726519</c:v>
                </c:pt>
                <c:pt idx="51">
                  <c:v>83.72177528094538</c:v>
                </c:pt>
                <c:pt idx="52">
                  <c:v>83.616305641289102</c:v>
                </c:pt>
                <c:pt idx="53">
                  <c:v>83.510398957643915</c:v>
                </c:pt>
                <c:pt idx="54">
                  <c:v>83.40405640735716</c:v>
                </c:pt>
                <c:pt idx="55">
                  <c:v>83.297279177833587</c:v>
                </c:pt>
                <c:pt idx="56">
                  <c:v>83.190068466474429</c:v>
                </c:pt>
                <c:pt idx="57">
                  <c:v>83.082425480616138</c:v>
                </c:pt>
                <c:pt idx="58">
                  <c:v>82.974351437468826</c:v>
                </c:pt>
                <c:pt idx="59">
                  <c:v>82.865847564054292</c:v>
                </c:pt>
                <c:pt idx="60">
                  <c:v>82.756915097143889</c:v>
                </c:pt>
                <c:pt idx="61">
                  <c:v>82.647555283195842</c:v>
                </c:pt>
                <c:pt idx="62">
                  <c:v>82.53776937829241</c:v>
                </c:pt>
                <c:pt idx="63">
                  <c:v>82.427558648076598</c:v>
                </c:pt>
                <c:pt idx="64">
                  <c:v>82.316924367688515</c:v>
                </c:pt>
                <c:pt idx="65">
                  <c:v>82.205867821701446</c:v>
                </c:pt>
                <c:pt idx="66">
                  <c:v>82.094390304057484</c:v>
                </c:pt>
                <c:pt idx="67">
                  <c:v>81.982493118002907</c:v>
                </c:pt>
                <c:pt idx="68">
                  <c:v>81.87017757602311</c:v>
                </c:pt>
                <c:pt idx="69">
                  <c:v>81.757444999777221</c:v>
                </c:pt>
                <c:pt idx="70">
                  <c:v>81.644296720032301</c:v>
                </c:pt>
                <c:pt idx="71">
                  <c:v>81.530734076597341</c:v>
                </c:pt>
                <c:pt idx="72">
                  <c:v>81.416758418256762</c:v>
                </c:pt>
                <c:pt idx="73">
                  <c:v>81.302371102703503</c:v>
                </c:pt>
                <c:pt idx="74">
                  <c:v>81.187573496472012</c:v>
                </c:pt>
                <c:pt idx="75">
                  <c:v>81.072366974870562</c:v>
                </c:pt>
                <c:pt idx="76">
                  <c:v>80.956752921913576</c:v>
                </c:pt>
                <c:pt idx="77">
                  <c:v>80.840732730253208</c:v>
                </c:pt>
                <c:pt idx="78">
                  <c:v>80.724307801110953</c:v>
                </c:pt>
                <c:pt idx="79">
                  <c:v>80.607479544208644</c:v>
                </c:pt>
                <c:pt idx="80">
                  <c:v>80.490249377699257</c:v>
                </c:pt>
                <c:pt idx="81">
                  <c:v>80.372618728097365</c:v>
                </c:pt>
                <c:pt idx="82">
                  <c:v>80.254589030209175</c:v>
                </c:pt>
                <c:pt idx="83">
                  <c:v>80.136161727062444</c:v>
                </c:pt>
                <c:pt idx="84">
                  <c:v>80.017338269835648</c:v>
                </c:pt>
                <c:pt idx="85">
                  <c:v>79.898120117787499</c:v>
                </c:pt>
                <c:pt idx="86">
                  <c:v>79.778508738185408</c:v>
                </c:pt>
                <c:pt idx="87">
                  <c:v>79.658505606234243</c:v>
                </c:pt>
                <c:pt idx="88">
                  <c:v>79.538112205004381</c:v>
                </c:pt>
                <c:pt idx="89">
                  <c:v>79.417330025359647</c:v>
                </c:pt>
                <c:pt idx="90">
                  <c:v>79.296160565884961</c:v>
                </c:pt>
                <c:pt idx="91">
                  <c:v>79.174605332813613</c:v>
                </c:pt>
                <c:pt idx="92">
                  <c:v>79.052665839954287</c:v>
                </c:pt>
                <c:pt idx="93">
                  <c:v>78.930343608617704</c:v>
                </c:pt>
                <c:pt idx="94">
                  <c:v>78.80764016754334</c:v>
                </c:pt>
                <c:pt idx="95">
                  <c:v>78.684557052825326</c:v>
                </c:pt>
                <c:pt idx="96">
                  <c:v>78.561095807838541</c:v>
                </c:pt>
                <c:pt idx="97">
                  <c:v>78.437257983164216</c:v>
                </c:pt>
                <c:pt idx="98">
                  <c:v>78.313045136515299</c:v>
                </c:pt>
                <c:pt idx="99">
                  <c:v>78.188458832661752</c:v>
                </c:pt>
                <c:pt idx="100">
                  <c:v>78.063500643355226</c:v>
                </c:pt>
                <c:pt idx="101">
                  <c:v>77.915549372181033</c:v>
                </c:pt>
                <c:pt idx="102">
                  <c:v>77.744580683607111</c:v>
                </c:pt>
                <c:pt idx="103">
                  <c:v>77.57321151048518</c:v>
                </c:pt>
                <c:pt idx="104">
                  <c:v>77.401444175433099</c:v>
                </c:pt>
                <c:pt idx="105">
                  <c:v>77.229281006990547</c:v>
                </c:pt>
                <c:pt idx="106">
                  <c:v>77.056724339500164</c:v>
                </c:pt>
                <c:pt idx="107">
                  <c:v>76.883776512988817</c:v>
                </c:pt>
                <c:pt idx="108">
                  <c:v>76.7104398730486</c:v>
                </c:pt>
                <c:pt idx="109">
                  <c:v>76.536716770718002</c:v>
                </c:pt>
                <c:pt idx="110">
                  <c:v>76.362609562362934</c:v>
                </c:pt>
                <c:pt idx="111">
                  <c:v>76.188120609557728</c:v>
                </c:pt>
                <c:pt idx="112">
                  <c:v>76.013252278966306</c:v>
                </c:pt>
                <c:pt idx="113">
                  <c:v>75.838006942223075</c:v>
                </c:pt>
                <c:pt idx="114">
                  <c:v>75.662386975814158</c:v>
                </c:pt>
                <c:pt idx="115">
                  <c:v>75.486394760958405</c:v>
                </c:pt>
                <c:pt idx="116">
                  <c:v>75.310032683488572</c:v>
                </c:pt>
                <c:pt idx="117">
                  <c:v>75.133303133732511</c:v>
                </c:pt>
                <c:pt idx="118">
                  <c:v>74.956208506394375</c:v>
                </c:pt>
                <c:pt idx="119">
                  <c:v>74.778751200435991</c:v>
                </c:pt>
                <c:pt idx="120">
                  <c:v>74.600933618958194</c:v>
                </c:pt>
                <c:pt idx="121">
                  <c:v>74.422758169082286</c:v>
                </c:pt>
                <c:pt idx="122">
                  <c:v>74.244227261831668</c:v>
                </c:pt>
                <c:pt idx="123">
                  <c:v>74.065343312013468</c:v>
                </c:pt>
                <c:pt idx="124">
                  <c:v>73.886108738100233</c:v>
                </c:pt>
                <c:pt idx="125">
                  <c:v>73.706525962111996</c:v>
                </c:pt>
                <c:pt idx="126">
                  <c:v>73.526597409498137</c:v>
                </c:pt>
                <c:pt idx="127">
                  <c:v>73.346325509019707</c:v>
                </c:pt>
                <c:pt idx="128">
                  <c:v>73.165712692631601</c:v>
                </c:pt>
                <c:pt idx="129">
                  <c:v>72.984761395365098</c:v>
                </c:pt>
                <c:pt idx="130">
                  <c:v>72.803474055210557</c:v>
                </c:pt>
                <c:pt idx="131">
                  <c:v>72.6218531130001</c:v>
                </c:pt>
                <c:pt idx="132">
                  <c:v>72.439901012290747</c:v>
                </c:pt>
                <c:pt idx="133">
                  <c:v>72.25762019924754</c:v>
                </c:pt>
                <c:pt idx="134">
                  <c:v>72.075013122526954</c:v>
                </c:pt>
                <c:pt idx="135">
                  <c:v>71.892082233160508</c:v>
                </c:pt>
                <c:pt idx="136">
                  <c:v>71.708829984438566</c:v>
                </c:pt>
                <c:pt idx="137">
                  <c:v>71.525258831794474</c:v>
                </c:pt>
                <c:pt idx="138">
                  <c:v>71.341371232688729</c:v>
                </c:pt>
                <c:pt idx="139">
                  <c:v>71.157169646493628</c:v>
                </c:pt>
                <c:pt idx="140">
                  <c:v>70.972656534378032</c:v>
                </c:pt>
                <c:pt idx="141">
                  <c:v>70.787834359192388</c:v>
                </c:pt>
                <c:pt idx="142">
                  <c:v>70.602705585354073</c:v>
                </c:pt>
                <c:pt idx="143">
                  <c:v>70.417272678733056</c:v>
                </c:pt>
                <c:pt idx="144">
                  <c:v>70.231538106537712</c:v>
                </c:pt>
                <c:pt idx="145">
                  <c:v>70.045504337201038</c:v>
                </c:pt>
                <c:pt idx="146">
                  <c:v>69.859173840267189</c:v>
                </c:pt>
                <c:pt idx="147">
                  <c:v>69.672549086278224</c:v>
                </c:pt>
                <c:pt idx="148">
                  <c:v>69.485632546661307</c:v>
                </c:pt>
                <c:pt idx="149">
                  <c:v>69.298426693616065</c:v>
                </c:pt>
                <c:pt idx="150">
                  <c:v>69.110934000002473</c:v>
                </c:pt>
                <c:pt idx="151">
                  <c:v>68.93084235158102</c:v>
                </c:pt>
                <c:pt idx="152">
                  <c:v>68.758160303059569</c:v>
                </c:pt>
                <c:pt idx="153">
                  <c:v>68.585205284133991</c:v>
                </c:pt>
                <c:pt idx="154">
                  <c:v>68.41197953057646</c:v>
                </c:pt>
                <c:pt idx="155">
                  <c:v>68.23848527896007</c:v>
                </c:pt>
                <c:pt idx="156">
                  <c:v>68.06472476656127</c:v>
                </c:pt>
                <c:pt idx="157">
                  <c:v>67.890700231262386</c:v>
                </c:pt>
                <c:pt idx="158">
                  <c:v>67.716413911454794</c:v>
                </c:pt>
                <c:pt idx="159">
                  <c:v>67.541868045941911</c:v>
                </c:pt>
                <c:pt idx="160">
                  <c:v>67.367064873842978</c:v>
                </c:pt>
                <c:pt idx="161">
                  <c:v>67.192006634496792</c:v>
                </c:pt>
                <c:pt idx="162">
                  <c:v>67.016695567365929</c:v>
                </c:pt>
                <c:pt idx="163">
                  <c:v>66.84113391194127</c:v>
                </c:pt>
                <c:pt idx="164">
                  <c:v>66.665323907646908</c:v>
                </c:pt>
                <c:pt idx="165">
                  <c:v>66.489267793745142</c:v>
                </c:pt>
                <c:pt idx="166">
                  <c:v>66.312967809242238</c:v>
                </c:pt>
                <c:pt idx="167">
                  <c:v>66.136426192794175</c:v>
                </c:pt>
                <c:pt idx="168">
                  <c:v>65.959645182612846</c:v>
                </c:pt>
                <c:pt idx="169">
                  <c:v>65.782627016372757</c:v>
                </c:pt>
                <c:pt idx="170">
                  <c:v>65.605373931117896</c:v>
                </c:pt>
                <c:pt idx="171">
                  <c:v>65.427888163169172</c:v>
                </c:pt>
                <c:pt idx="172">
                  <c:v>65.250171948031962</c:v>
                </c:pt>
                <c:pt idx="173">
                  <c:v>65.072227520304381</c:v>
                </c:pt>
                <c:pt idx="174">
                  <c:v>64.894057113585689</c:v>
                </c:pt>
                <c:pt idx="175">
                  <c:v>64.715662960385117</c:v>
                </c:pt>
                <c:pt idx="176">
                  <c:v>64.537047292031303</c:v>
                </c:pt>
                <c:pt idx="177">
                  <c:v>64.358212338581808</c:v>
                </c:pt>
                <c:pt idx="178">
                  <c:v>64.179160328733346</c:v>
                </c:pt>
                <c:pt idx="179">
                  <c:v>63.999893489732209</c:v>
                </c:pt>
                <c:pt idx="180">
                  <c:v>63.820414047285276</c:v>
                </c:pt>
                <c:pt idx="181">
                  <c:v>63.640724225471331</c:v>
                </c:pt>
                <c:pt idx="182">
                  <c:v>63.460826246652893</c:v>
                </c:pt>
                <c:pt idx="183">
                  <c:v>63.280722331388411</c:v>
                </c:pt>
                <c:pt idx="184">
                  <c:v>63.10041469834502</c:v>
                </c:pt>
                <c:pt idx="185">
                  <c:v>62.919905564211511</c:v>
                </c:pt>
                <c:pt idx="186">
                  <c:v>62.739197143612067</c:v>
                </c:pt>
                <c:pt idx="187">
                  <c:v>62.558291649020248</c:v>
                </c:pt>
                <c:pt idx="188">
                  <c:v>62.377191290673359</c:v>
                </c:pt>
                <c:pt idx="189">
                  <c:v>62.195898276487576</c:v>
                </c:pt>
                <c:pt idx="190">
                  <c:v>62.01441481197331</c:v>
                </c:pt>
                <c:pt idx="191">
                  <c:v>61.832743100151021</c:v>
                </c:pt>
                <c:pt idx="192">
                  <c:v>61.65088534146772</c:v>
                </c:pt>
                <c:pt idx="193">
                  <c:v>61.468843733713783</c:v>
                </c:pt>
                <c:pt idx="194">
                  <c:v>61.286620471940218</c:v>
                </c:pt>
                <c:pt idx="195">
                  <c:v>61.104217748376662</c:v>
                </c:pt>
                <c:pt idx="196">
                  <c:v>60.921637752349561</c:v>
                </c:pt>
                <c:pt idx="197">
                  <c:v>60.738882670201093</c:v>
                </c:pt>
                <c:pt idx="198">
                  <c:v>60.555954685208441</c:v>
                </c:pt>
                <c:pt idx="199">
                  <c:v>60.37285597750369</c:v>
                </c:pt>
                <c:pt idx="200">
                  <c:v>60.189588723994127</c:v>
                </c:pt>
                <c:pt idx="201">
                  <c:v>60.006155098283124</c:v>
                </c:pt>
                <c:pt idx="202">
                  <c:v>59.822557270591552</c:v>
                </c:pt>
                <c:pt idx="203">
                  <c:v>59.638797407679654</c:v>
                </c:pt>
                <c:pt idx="204">
                  <c:v>59.454877672769435</c:v>
                </c:pt>
                <c:pt idx="205">
                  <c:v>59.270800225467696</c:v>
                </c:pt>
                <c:pt idx="206">
                  <c:v>59.086567221689471</c:v>
                </c:pt>
                <c:pt idx="207">
                  <c:v>58.902180813582056</c:v>
                </c:pt>
                <c:pt idx="208">
                  <c:v>58.717643149449614</c:v>
                </c:pt>
                <c:pt idx="209">
                  <c:v>58.532956373678147</c:v>
                </c:pt>
                <c:pt idx="210">
                  <c:v>58.348122626661336</c:v>
                </c:pt>
                <c:pt idx="211">
                  <c:v>58.16314404472655</c:v>
                </c:pt>
                <c:pt idx="212">
                  <c:v>57.978022760061727</c:v>
                </c:pt>
                <c:pt idx="213">
                  <c:v>57.792760900642563</c:v>
                </c:pt>
                <c:pt idx="214">
                  <c:v>57.607360590160432</c:v>
                </c:pt>
                <c:pt idx="215">
                  <c:v>57.421823947950784</c:v>
                </c:pt>
                <c:pt idx="216">
                  <c:v>57.23615308892208</c:v>
                </c:pt>
                <c:pt idx="217">
                  <c:v>57.050350123485337</c:v>
                </c:pt>
                <c:pt idx="218">
                  <c:v>56.86441715748429</c:v>
                </c:pt>
                <c:pt idx="219">
                  <c:v>56.678356292125947</c:v>
                </c:pt>
                <c:pt idx="220">
                  <c:v>56.492169623911941</c:v>
                </c:pt>
                <c:pt idx="221">
                  <c:v>56.305859244570222</c:v>
                </c:pt>
                <c:pt idx="222">
                  <c:v>56.119427240987598</c:v>
                </c:pt>
                <c:pt idx="223">
                  <c:v>55.932875695142542</c:v>
                </c:pt>
                <c:pt idx="224">
                  <c:v>55.74620668403881</c:v>
                </c:pt>
                <c:pt idx="225">
                  <c:v>55.559422279639591</c:v>
                </c:pt>
                <c:pt idx="226">
                  <c:v>55.372524548802147</c:v>
                </c:pt>
                <c:pt idx="227">
                  <c:v>55.185515553213179</c:v>
                </c:pt>
                <c:pt idx="228">
                  <c:v>54.998397349324613</c:v>
                </c:pt>
                <c:pt idx="229">
                  <c:v>54.811171988290134</c:v>
                </c:pt>
                <c:pt idx="230">
                  <c:v>54.623841515902278</c:v>
                </c:pt>
                <c:pt idx="231">
                  <c:v>54.43640797252997</c:v>
                </c:pt>
                <c:pt idx="232">
                  <c:v>54.248873393056869</c:v>
                </c:pt>
                <c:pt idx="233">
                  <c:v>54.061239806820183</c:v>
                </c:pt>
                <c:pt idx="234">
                  <c:v>53.873509237550032</c:v>
                </c:pt>
                <c:pt idx="235">
                  <c:v>53.685683703309593</c:v>
                </c:pt>
                <c:pt idx="236">
                  <c:v>53.497765216435631</c:v>
                </c:pt>
                <c:pt idx="237">
                  <c:v>53.309755783479801</c:v>
                </c:pt>
                <c:pt idx="238">
                  <c:v>53.12165740515043</c:v>
                </c:pt>
                <c:pt idx="239">
                  <c:v>52.933472076254951</c:v>
                </c:pt>
                <c:pt idx="240">
                  <c:v>52.74520178564299</c:v>
                </c:pt>
                <c:pt idx="241">
                  <c:v>52.556848516149913</c:v>
                </c:pt>
                <c:pt idx="242">
                  <c:v>52.368414244541206</c:v>
                </c:pt>
                <c:pt idx="243">
                  <c:v>52.179900941457191</c:v>
                </c:pt>
                <c:pt idx="244">
                  <c:v>51.991310571358525</c:v>
                </c:pt>
                <c:pt idx="245">
                  <c:v>51.802645092472318</c:v>
                </c:pt>
                <c:pt idx="246">
                  <c:v>51.613906456738704</c:v>
                </c:pt>
                <c:pt idx="247">
                  <c:v>51.425096609758235</c:v>
                </c:pt>
                <c:pt idx="248">
                  <c:v>51.23621749073962</c:v>
                </c:pt>
                <c:pt idx="249">
                  <c:v>51.047271032448393</c:v>
                </c:pt>
                <c:pt idx="250">
                  <c:v>50.858259161155857</c:v>
                </c:pt>
                <c:pt idx="251">
                  <c:v>50.636143210904194</c:v>
                </c:pt>
                <c:pt idx="252">
                  <c:v>50.380919729074307</c:v>
                </c:pt>
                <c:pt idx="253">
                  <c:v>50.125645596234634</c:v>
                </c:pt>
                <c:pt idx="254">
                  <c:v>49.870323591655499</c:v>
                </c:pt>
                <c:pt idx="255">
                  <c:v>49.61495648202235</c:v>
                </c:pt>
                <c:pt idx="256">
                  <c:v>49.359547021363149</c:v>
                </c:pt>
                <c:pt idx="257">
                  <c:v>49.104097950977042</c:v>
                </c:pt>
                <c:pt idx="258">
                  <c:v>48.848611999364145</c:v>
                </c:pt>
                <c:pt idx="259">
                  <c:v>48.593091882156614</c:v>
                </c:pt>
                <c:pt idx="260">
                  <c:v>48.33754030205094</c:v>
                </c:pt>
                <c:pt idx="261">
                  <c:v>48.081959948741449</c:v>
                </c:pt>
                <c:pt idx="262">
                  <c:v>47.826353498854942</c:v>
                </c:pt>
                <c:pt idx="263">
                  <c:v>47.570723615886656</c:v>
                </c:pt>
                <c:pt idx="264">
                  <c:v>47.315072950137363</c:v>
                </c:pt>
                <c:pt idx="265">
                  <c:v>47.059404138651672</c:v>
                </c:pt>
                <c:pt idx="266">
                  <c:v>46.803719805157584</c:v>
                </c:pt>
                <c:pt idx="267">
                  <c:v>46.548022560007119</c:v>
                </c:pt>
                <c:pt idx="268">
                  <c:v>46.29231500011835</c:v>
                </c:pt>
                <c:pt idx="269">
                  <c:v>46.036599708918402</c:v>
                </c:pt>
                <c:pt idx="270">
                  <c:v>45.78087925628774</c:v>
                </c:pt>
                <c:pt idx="271">
                  <c:v>45.525156198505677</c:v>
                </c:pt>
                <c:pt idx="272">
                  <c:v>45.269433078197025</c:v>
                </c:pt>
                <c:pt idx="273">
                  <c:v>45.013712424279873</c:v>
                </c:pt>
                <c:pt idx="274">
                  <c:v>44.757996751914604</c:v>
                </c:pt>
                <c:pt idx="275">
                  <c:v>44.502288562454076</c:v>
                </c:pt>
                <c:pt idx="276">
                  <c:v>44.246590343394935</c:v>
                </c:pt>
                <c:pt idx="277">
                  <c:v>43.990904568330102</c:v>
                </c:pt>
                <c:pt idx="278">
                  <c:v>43.735233696902412</c:v>
                </c:pt>
                <c:pt idx="279">
                  <c:v>43.479580174759434</c:v>
                </c:pt>
                <c:pt idx="280">
                  <c:v>43.223946433509376</c:v>
                </c:pt>
                <c:pt idx="281">
                  <c:v>42.968334890678193</c:v>
                </c:pt>
                <c:pt idx="282">
                  <c:v>42.712747949667822</c:v>
                </c:pt>
                <c:pt idx="283">
                  <c:v>42.457187999715529</c:v>
                </c:pt>
                <c:pt idx="284">
                  <c:v>42.201657415854363</c:v>
                </c:pt>
                <c:pt idx="285">
                  <c:v>41.946158558874814</c:v>
                </c:pt>
                <c:pt idx="286">
                  <c:v>41.690693775287507</c:v>
                </c:pt>
                <c:pt idx="287">
                  <c:v>41.435265397287054</c:v>
                </c:pt>
                <c:pt idx="288">
                  <c:v>41.179875742716995</c:v>
                </c:pt>
                <c:pt idx="289">
                  <c:v>40.92452711503585</c:v>
                </c:pt>
                <c:pt idx="290">
                  <c:v>40.669221803284294</c:v>
                </c:pt>
                <c:pt idx="291">
                  <c:v>40.413962082053359</c:v>
                </c:pt>
                <c:pt idx="292">
                  <c:v>40.158750211453778</c:v>
                </c:pt>
                <c:pt idx="293">
                  <c:v>39.903588437086398</c:v>
                </c:pt>
                <c:pt idx="294">
                  <c:v>39.648478990013665</c:v>
                </c:pt>
                <c:pt idx="295">
                  <c:v>39.393424086732161</c:v>
                </c:pt>
                <c:pt idx="296">
                  <c:v>39.138425929146266</c:v>
                </c:pt>
                <c:pt idx="297">
                  <c:v>38.883486704542761</c:v>
                </c:pt>
                <c:pt idx="298">
                  <c:v>38.266531760891766</c:v>
                </c:pt>
                <c:pt idx="299">
                  <c:v>37.287627419707093</c:v>
                </c:pt>
                <c:pt idx="300">
                  <c:v>36.309097553495043</c:v>
                </c:pt>
                <c:pt idx="301">
                  <c:v>35.330960626275044</c:v>
                </c:pt>
                <c:pt idx="302">
                  <c:v>34.353234901819199</c:v>
                </c:pt>
                <c:pt idx="303">
                  <c:v>33.375938443105966</c:v>
                </c:pt>
                <c:pt idx="304">
                  <c:v>32.399089111807598</c:v>
                </c:pt>
                <c:pt idx="305">
                  <c:v>31.422704567811291</c:v>
                </c:pt>
                <c:pt idx="306">
                  <c:v>30.446802268773503</c:v>
                </c:pt>
                <c:pt idx="307">
                  <c:v>29.471399469707301</c:v>
                </c:pt>
                <c:pt idx="308">
                  <c:v>28.496513222602303</c:v>
                </c:pt>
                <c:pt idx="309">
                  <c:v>27.522160376077014</c:v>
                </c:pt>
                <c:pt idx="310">
                  <c:v>26.548357575063136</c:v>
                </c:pt>
                <c:pt idx="311">
                  <c:v>25.575121260521563</c:v>
                </c:pt>
                <c:pt idx="312">
                  <c:v>24.602467669189796</c:v>
                </c:pt>
                <c:pt idx="313">
                  <c:v>23.630412833360239</c:v>
                </c:pt>
                <c:pt idx="314">
                  <c:v>22.658972580689301</c:v>
                </c:pt>
                <c:pt idx="315">
                  <c:v>21.688162534036806</c:v>
                </c:pt>
                <c:pt idx="316">
                  <c:v>20.717998111335255</c:v>
                </c:pt>
                <c:pt idx="317">
                  <c:v>19.748494525488937</c:v>
                </c:pt>
                <c:pt idx="318">
                  <c:v>18.77966678430213</c:v>
                </c:pt>
                <c:pt idx="319">
                  <c:v>17.811529690436267</c:v>
                </c:pt>
                <c:pt idx="320">
                  <c:v>16.844097841395705</c:v>
                </c:pt>
                <c:pt idx="321">
                  <c:v>16.021295665596551</c:v>
                </c:pt>
                <c:pt idx="322">
                  <c:v>15.343043223615794</c:v>
                </c:pt>
                <c:pt idx="323">
                  <c:v>14.665310464690888</c:v>
                </c:pt>
                <c:pt idx="324">
                  <c:v>13.988104189268704</c:v>
                </c:pt>
                <c:pt idx="325">
                  <c:v>13.311431096743293</c:v>
                </c:pt>
                <c:pt idx="326">
                  <c:v>12.635297785618709</c:v>
                </c:pt>
                <c:pt idx="327">
                  <c:v>11.959710753680621</c:v>
                </c:pt>
                <c:pt idx="328">
                  <c:v>11.284676398176776</c:v>
                </c:pt>
                <c:pt idx="329">
                  <c:v>10.610201016005885</c:v>
                </c:pt>
                <c:pt idx="330">
                  <c:v>9.9362908039150728</c:v>
                </c:pt>
                <c:pt idx="331">
                  <c:v>9.262951858705561</c:v>
                </c:pt>
                <c:pt idx="332">
                  <c:v>8.5901901774465053</c:v>
                </c:pt>
                <c:pt idx="333">
                  <c:v>7.9180116576969084</c:v>
                </c:pt>
                <c:pt idx="334">
                  <c:v>7.2464220977353291</c:v>
                </c:pt>
                <c:pt idx="335">
                  <c:v>6.5754271967974436</c:v>
                </c:pt>
                <c:pt idx="336">
                  <c:v>5.9050325553210712</c:v>
                </c:pt>
                <c:pt idx="337">
                  <c:v>5.235243675198797</c:v>
                </c:pt>
                <c:pt idx="338">
                  <c:v>4.5660659600378422</c:v>
                </c:pt>
                <c:pt idx="339">
                  <c:v>3.8975047154271447</c:v>
                </c:pt>
                <c:pt idx="340">
                  <c:v>3.2295651492114654</c:v>
                </c:pt>
                <c:pt idx="341">
                  <c:v>2.5622523717724479</c:v>
                </c:pt>
                <c:pt idx="342">
                  <c:v>1.8955713963163936</c:v>
                </c:pt>
                <c:pt idx="343">
                  <c:v>1.229527139168735</c:v>
                </c:pt>
                <c:pt idx="344">
                  <c:v>0.56412442007494668</c:v>
                </c:pt>
                <c:pt idx="345">
                  <c:v>-0.1006320374921571</c:v>
                </c:pt>
                <c:pt idx="346">
                  <c:v>-0.76473760601887419</c:v>
                </c:pt>
                <c:pt idx="347">
                  <c:v>-1.4281877536310461</c:v>
                </c:pt>
                <c:pt idx="348">
                  <c:v>-2.0754635326848438</c:v>
                </c:pt>
                <c:pt idx="349">
                  <c:v>-2.7065761769095995</c:v>
                </c:pt>
                <c:pt idx="350">
                  <c:v>-3.3370528598668123</c:v>
                </c:pt>
                <c:pt idx="351">
                  <c:v>-3.966889910170396</c:v>
                </c:pt>
                <c:pt idx="352">
                  <c:v>-4.5960837414831248</c:v>
                </c:pt>
                <c:pt idx="353">
                  <c:v>-5.2246308521886071</c:v>
                </c:pt>
                <c:pt idx="354">
                  <c:v>-5.8525278250589325</c:v>
                </c:pt>
                <c:pt idx="355">
                  <c:v>-6.4797713269181694</c:v>
                </c:pt>
                <c:pt idx="356">
                  <c:v>-7.1063581083017286</c:v>
                </c:pt>
                <c:pt idx="357">
                  <c:v>-7.7322850031118202</c:v>
                </c:pt>
                <c:pt idx="358">
                  <c:v>-8.3575489282690061</c:v>
                </c:pt>
                <c:pt idx="359">
                  <c:v>-8.9821468833600502</c:v>
                </c:pt>
                <c:pt idx="360">
                  <c:v>-9.2834300782513033</c:v>
                </c:pt>
                <c:pt idx="361">
                  <c:v>-9.2617600211923854</c:v>
                </c:pt>
                <c:pt idx="362">
                  <c:v>-9.2401440004678417</c:v>
                </c:pt>
                <c:pt idx="363">
                  <c:v>-9.2185818441293232</c:v>
                </c:pt>
                <c:pt idx="364">
                  <c:v>-9.1970733809299201</c:v>
                </c:pt>
                <c:pt idx="365">
                  <c:v>-9.1756184403207683</c:v>
                </c:pt>
                <c:pt idx="366">
                  <c:v>-9.1542168524476075</c:v>
                </c:pt>
                <c:pt idx="367">
                  <c:v>-9.132868448147395</c:v>
                </c:pt>
                <c:pt idx="368">
                  <c:v>-9.111573058944936</c:v>
                </c:pt>
                <c:pt idx="369">
                  <c:v>-9.0903305170495248</c:v>
                </c:pt>
                <c:pt idx="370">
                  <c:v>-9.0691406553516121</c:v>
                </c:pt>
                <c:pt idx="371">
                  <c:v>-9.0480033074194672</c:v>
                </c:pt>
                <c:pt idx="372">
                  <c:v>-9.0269183074959187</c:v>
                </c:pt>
                <c:pt idx="373">
                  <c:v>-9.0058854904950447</c:v>
                </c:pt>
                <c:pt idx="374">
                  <c:v>-8.9849046919989206</c:v>
                </c:pt>
                <c:pt idx="375">
                  <c:v>-8.9639757482543789</c:v>
                </c:pt>
                <c:pt idx="376">
                  <c:v>-8.9430984961697835</c:v>
                </c:pt>
                <c:pt idx="377">
                  <c:v>-8.9222727733118248</c:v>
                </c:pt>
                <c:pt idx="378">
                  <c:v>-8.9014984179023262</c:v>
                </c:pt>
                <c:pt idx="379">
                  <c:v>-8.8807752688151016</c:v>
                </c:pt>
                <c:pt idx="380">
                  <c:v>-8.8601031655727649</c:v>
                </c:pt>
                <c:pt idx="381">
                  <c:v>-8.8394819483436233</c:v>
                </c:pt>
                <c:pt idx="382">
                  <c:v>-8.8189114579385599</c:v>
                </c:pt>
                <c:pt idx="383">
                  <c:v>-8.7983915358079248</c:v>
                </c:pt>
                <c:pt idx="384">
                  <c:v>-8.7779220240384621</c:v>
                </c:pt>
                <c:pt idx="385">
                  <c:v>-8.7575027653502531</c:v>
                </c:pt>
                <c:pt idx="386">
                  <c:v>-8.7371336030936551</c:v>
                </c:pt>
                <c:pt idx="387">
                  <c:v>-8.7168143812462908</c:v>
                </c:pt>
                <c:pt idx="388">
                  <c:v>-8.6965449444100127</c:v>
                </c:pt>
                <c:pt idx="389">
                  <c:v>-8.6763251378079431</c:v>
                </c:pt>
                <c:pt idx="390">
                  <c:v>-8.6561548072814656</c:v>
                </c:pt>
                <c:pt idx="391">
                  <c:v>-8.6360337992872811</c:v>
                </c:pt>
                <c:pt idx="392">
                  <c:v>-8.6159619608944524</c:v>
                </c:pt>
                <c:pt idx="393">
                  <c:v>-8.5959391397814873</c:v>
                </c:pt>
                <c:pt idx="394">
                  <c:v>-8.5759651842334197</c:v>
                </c:pt>
                <c:pt idx="395">
                  <c:v>-8.5560399431389271</c:v>
                </c:pt>
                <c:pt idx="396">
                  <c:v>-8.5361632659874314</c:v>
                </c:pt>
                <c:pt idx="397">
                  <c:v>-8.5163350028662475</c:v>
                </c:pt>
                <c:pt idx="398">
                  <c:v>-8.4965550044577469</c:v>
                </c:pt>
                <c:pt idx="399">
                  <c:v>-8.4768231220365085</c:v>
                </c:pt>
                <c:pt idx="400">
                  <c:v>-8.4571392074665077</c:v>
                </c:pt>
                <c:pt idx="401">
                  <c:v>-8.4375031131983302</c:v>
                </c:pt>
                <c:pt idx="402">
                  <c:v>-8.2428612204455121</c:v>
                </c:pt>
                <c:pt idx="403">
                  <c:v>-8.0528952392019164</c:v>
                </c:pt>
                <c:pt idx="404">
                  <c:v>-7.8674641463425798</c:v>
                </c:pt>
                <c:pt idx="405">
                  <c:v>-7.6864323632544993</c:v>
                </c:pt>
                <c:pt idx="406">
                  <c:v>-7.5096695056429423</c:v>
                </c:pt>
                <c:pt idx="407">
                  <c:v>-7.3370501467419595</c:v>
                </c:pt>
                <c:pt idx="408">
                  <c:v>-7.1684535931125408</c:v>
                </c:pt>
                <c:pt idx="409">
                  <c:v>-7.0037636722672945</c:v>
                </c:pt>
                <c:pt idx="410">
                  <c:v>-6.8428685314121811</c:v>
                </c:pt>
                <c:pt idx="411">
                  <c:v>-6.6856604466434204</c:v>
                </c:pt>
                <c:pt idx="412">
                  <c:v>-6.5320356419820289</c:v>
                </c:pt>
                <c:pt idx="413">
                  <c:v>-6.3818941176689732</c:v>
                </c:pt>
                <c:pt idx="414">
                  <c:v>-6.2351394871821695</c:v>
                </c:pt>
                <c:pt idx="415">
                  <c:v>-6.0916788224714704</c:v>
                </c:pt>
                <c:pt idx="416">
                  <c:v>-5.9514225069404398</c:v>
                </c:pt>
                <c:pt idx="417">
                  <c:v>-5.8142840957340765</c:v>
                </c:pt>
                <c:pt idx="418">
                  <c:v>-5.6801801829196155</c:v>
                </c:pt>
                <c:pt idx="419">
                  <c:v>-5.5490302751737657</c:v>
                </c:pt>
                <c:pt idx="420">
                  <c:v>-5.4207566716141322</c:v>
                </c:pt>
                <c:pt idx="421">
                  <c:v>-5.29528434943495</c:v>
                </c:pt>
                <c:pt idx="422">
                  <c:v>-5.1725408550285916</c:v>
                </c:pt>
                <c:pt idx="423">
                  <c:v>-5.0524562002937436</c:v>
                </c:pt>
                <c:pt idx="424">
                  <c:v>-4.9349627638494455</c:v>
                </c:pt>
                <c:pt idx="425">
                  <c:v>-4.819995196891357</c:v>
                </c:pt>
                <c:pt idx="426">
                  <c:v>-4.7074903334423315</c:v>
                </c:pt>
                <c:pt idx="427">
                  <c:v>-4.5973871047643646</c:v>
                </c:pt>
                <c:pt idx="428">
                  <c:v>-4.4896264577127587</c:v>
                </c:pt>
                <c:pt idx="429">
                  <c:v>-4.3841512768263335</c:v>
                </c:pt>
                <c:pt idx="430">
                  <c:v>-4.2809063099595983</c:v>
                </c:pt>
                <c:pt idx="431">
                  <c:v>-4.1798380972740965</c:v>
                </c:pt>
                <c:pt idx="432">
                  <c:v>-4.0808949034167554</c:v>
                </c:pt>
                <c:pt idx="433">
                  <c:v>-3.984026652722958</c:v>
                </c:pt>
                <c:pt idx="434">
                  <c:v>-3.889184867291323</c:v>
                </c:pt>
                <c:pt idx="435">
                  <c:v>-3.796322607785894</c:v>
                </c:pt>
                <c:pt idx="436">
                  <c:v>-3.7053944168295674</c:v>
                </c:pt>
                <c:pt idx="437">
                  <c:v>-3.616356264860201</c:v>
                </c:pt>
                <c:pt idx="438">
                  <c:v>-3.5291654983280729</c:v>
                </c:pt>
                <c:pt idx="439">
                  <c:v>-3.4437807901200075</c:v>
                </c:pt>
                <c:pt idx="440">
                  <c:v>-3.3601620921018305</c:v>
                </c:pt>
                <c:pt idx="441">
                  <c:v>-3.2782705896767439</c:v>
                </c:pt>
                <c:pt idx="442">
                  <c:v>-3.1980686582627653</c:v>
                </c:pt>
                <c:pt idx="443">
                  <c:v>-3.1195198215975952</c:v>
                </c:pt>
                <c:pt idx="444">
                  <c:v>-3.0425887117842376</c:v>
                </c:pt>
                <c:pt idx="445">
                  <c:v>-2.9672410309952602</c:v>
                </c:pt>
                <c:pt idx="446">
                  <c:v>-2.893443514758014</c:v>
                </c:pt>
                <c:pt idx="447">
                  <c:v>-2.8211638967471306</c:v>
                </c:pt>
                <c:pt idx="448">
                  <c:v>-2.7503708750145912</c:v>
                </c:pt>
                <c:pt idx="449">
                  <c:v>-2.6810340795911642</c:v>
                </c:pt>
                <c:pt idx="450">
                  <c:v>-2.6131240413965657</c:v>
                </c:pt>
                <c:pt idx="451">
                  <c:v>-2.5466121623987994</c:v>
                </c:pt>
                <c:pt idx="452">
                  <c:v>-2.4814706869662855</c:v>
                </c:pt>
                <c:pt idx="453">
                  <c:v>-2.4176726743591641</c:v>
                </c:pt>
                <c:pt idx="454">
                  <c:v>-2.3551919723089485</c:v>
                </c:pt>
                <c:pt idx="455">
                  <c:v>-2.2940031916381929</c:v>
                </c:pt>
                <c:pt idx="456">
                  <c:v>-2.2340816818742999</c:v>
                </c:pt>
                <c:pt idx="457">
                  <c:v>-2.1754035078138427</c:v>
                </c:pt>
                <c:pt idx="458">
                  <c:v>-2.1179454269959423</c:v>
                </c:pt>
                <c:pt idx="459">
                  <c:v>-2.0616848680452677</c:v>
                </c:pt>
                <c:pt idx="460">
                  <c:v>-2.0065999098471705</c:v>
                </c:pt>
                <c:pt idx="461">
                  <c:v>-1.9526692615192212</c:v>
                </c:pt>
                <c:pt idx="462">
                  <c:v>-1.8998722431452397</c:v>
                </c:pt>
                <c:pt idx="463">
                  <c:v>-1.8481887672394042</c:v>
                </c:pt>
                <c:pt idx="464">
                  <c:v>-1.7975993209096859</c:v>
                </c:pt>
                <c:pt idx="465">
                  <c:v>-1.7480849486912107</c:v>
                </c:pt>
                <c:pt idx="466">
                  <c:v>-1.6996272360216012</c:v>
                </c:pt>
                <c:pt idx="467">
                  <c:v>-1.6522082933315854</c:v>
                </c:pt>
                <c:pt idx="468">
                  <c:v>-1.6058107407254578</c:v>
                </c:pt>
                <c:pt idx="469">
                  <c:v>-1.5604176932270841</c:v>
                </c:pt>
                <c:pt idx="470">
                  <c:v>-1.5160127465682836</c:v>
                </c:pt>
                <c:pt idx="471">
                  <c:v>-1.4725799634974484</c:v>
                </c:pt>
                <c:pt idx="472">
                  <c:v>-1.430103860587254</c:v>
                </c:pt>
                <c:pt idx="473">
                  <c:v>-1.3885693955212326</c:v>
                </c:pt>
                <c:pt idx="474">
                  <c:v>-1.3479619548398967</c:v>
                </c:pt>
                <c:pt idx="475">
                  <c:v>-1.3082673421278899</c:v>
                </c:pt>
                <c:pt idx="476">
                  <c:v>-1.2694717666244697</c:v>
                </c:pt>
                <c:pt idx="477">
                  <c:v>-1.2315618322403474</c:v>
                </c:pt>
                <c:pt idx="478">
                  <c:v>-1.1945245269646156</c:v>
                </c:pt>
                <c:pt idx="479">
                  <c:v>-1.1583472126461594</c:v>
                </c:pt>
                <c:pt idx="480">
                  <c:v>-1.1230176151345621</c:v>
                </c:pt>
                <c:pt idx="481">
                  <c:v>-1.0885238147661125</c:v>
                </c:pt>
                <c:pt idx="482">
                  <c:v>-1.0548542371810339</c:v>
                </c:pt>
                <c:pt idx="483">
                  <c:v>-1.0219976444586243</c:v>
                </c:pt>
                <c:pt idx="484">
                  <c:v>-0.9899431265574109</c:v>
                </c:pt>
                <c:pt idx="485">
                  <c:v>-0.95868009304791413</c:v>
                </c:pt>
                <c:pt idx="486">
                  <c:v>-0.92819826512599268</c:v>
                </c:pt>
                <c:pt idx="487">
                  <c:v>-0.89848766789514956</c:v>
                </c:pt>
                <c:pt idx="488">
                  <c:v>-0.86953862290648887</c:v>
                </c:pt>
                <c:pt idx="489">
                  <c:v>-0.84134174094536263</c:v>
                </c:pt>
                <c:pt idx="490">
                  <c:v>-0.8138879150540016</c:v>
                </c:pt>
                <c:pt idx="491">
                  <c:v>-0.78716831377968421</c:v>
                </c:pt>
                <c:pt idx="492">
                  <c:v>-0.76117437463821458</c:v>
                </c:pt>
                <c:pt idx="493">
                  <c:v>-0.73589779778266473</c:v>
                </c:pt>
                <c:pt idx="494">
                  <c:v>-0.7113305398674884</c:v>
                </c:pt>
                <c:pt idx="495">
                  <c:v>-0.68746480809822941</c:v>
                </c:pt>
                <c:pt idx="496">
                  <c:v>-0.66429305445713871</c:v>
                </c:pt>
                <c:pt idx="497">
                  <c:v>-0.6418079700950593</c:v>
                </c:pt>
                <c:pt idx="498">
                  <c:v>-0.62000247987995971</c:v>
                </c:pt>
                <c:pt idx="499">
                  <c:v>-0.59886973709246893</c:v>
                </c:pt>
                <c:pt idx="500">
                  <c:v>-0.57840311825872626</c:v>
                </c:pt>
                <c:pt idx="501">
                  <c:v>-0.55859621811074889</c:v>
                </c:pt>
                <c:pt idx="502">
                  <c:v>-0.53944284466441084</c:v>
                </c:pt>
                <c:pt idx="503">
                  <c:v>-0.52093701440495888</c:v>
                </c:pt>
                <c:pt idx="504">
                  <c:v>-0.50307294756979437</c:v>
                </c:pt>
                <c:pt idx="505">
                  <c:v>-0.48584506351802936</c:v>
                </c:pt>
                <c:pt idx="506">
                  <c:v>-0.46924797617606012</c:v>
                </c:pt>
                <c:pt idx="507">
                  <c:v>-0.45327648954812988</c:v>
                </c:pt>
                <c:pt idx="508">
                  <c:v>-0.43792559328054326</c:v>
                </c:pt>
                <c:pt idx="509">
                  <c:v>-0.42319045826788354</c:v>
                </c:pt>
                <c:pt idx="510">
                  <c:v>-0.40906643228926703</c:v>
                </c:pt>
                <c:pt idx="511">
                  <c:v>-0.39554903566235067</c:v>
                </c:pt>
                <c:pt idx="512">
                  <c:v>-0.3826339569025291</c:v>
                </c:pt>
                <c:pt idx="513">
                  <c:v>-0.37031704837449131</c:v>
                </c:pt>
                <c:pt idx="514">
                  <c:v>-0.35859432192312563</c:v>
                </c:pt>
                <c:pt idx="515">
                  <c:v>-0.34746194447063233</c:v>
                </c:pt>
                <c:pt idx="516">
                  <c:v>-0.33691623356670464</c:v>
                </c:pt>
                <c:pt idx="517">
                  <c:v>-0.3269536528787601</c:v>
                </c:pt>
                <c:pt idx="518">
                  <c:v>-0.31757080760949541</c:v>
                </c:pt>
                <c:pt idx="519">
                  <c:v>-0.30876443982953411</c:v>
                </c:pt>
                <c:pt idx="520">
                  <c:v>-0.30053142371365749</c:v>
                </c:pt>
                <c:pt idx="521">
                  <c:v>-0.29286876067009787</c:v>
                </c:pt>
                <c:pt idx="522">
                  <c:v>-0.28577357435366246</c:v>
                </c:pt>
                <c:pt idx="523">
                  <c:v>-0.279243105555043</c:v>
                </c:pt>
                <c:pt idx="524">
                  <c:v>-0.27327470696060835</c:v>
                </c:pt>
                <c:pt idx="525">
                  <c:v>-0.26786583777923129</c:v>
                </c:pt>
                <c:pt idx="526">
                  <c:v>-0.26301405823528523</c:v>
                </c:pt>
                <c:pt idx="527">
                  <c:v>-0.25871702392982465</c:v>
                </c:pt>
                <c:pt idx="528">
                  <c:v>-0.25497248007507944</c:v>
                </c:pt>
                <c:pt idx="529">
                  <c:v>-0.25177825561068967</c:v>
                </c:pt>
                <c:pt idx="530">
                  <c:v>-0.24913225721349549</c:v>
                </c:pt>
                <c:pt idx="531">
                  <c:v>-0.24703246321606448</c:v>
                </c:pt>
                <c:pt idx="532">
                  <c:v>-0.24547691745238795</c:v>
                </c:pt>
                <c:pt idx="533">
                  <c:v>-0.24446372305216299</c:v>
                </c:pt>
                <c:pt idx="534">
                  <c:v>-0.24399103620770149</c:v>
                </c:pt>
                <c:pt idx="535">
                  <c:v>-0.2440570599396375</c:v>
                </c:pt>
                <c:pt idx="536">
                  <c:v>-0.24466003788915211</c:v>
                </c:pt>
                <c:pt idx="537">
                  <c:v>-0.24579824816533766</c:v>
                </c:pt>
                <c:pt idx="538">
                  <c:v>-0.24746999727651992</c:v>
                </c:pt>
                <c:pt idx="539">
                  <c:v>-0.24967361417385117</c:v>
                </c:pt>
                <c:pt idx="540">
                  <c:v>-0.25240744443431584</c:v>
                </c:pt>
                <c:pt idx="541">
                  <c:v>-0.25566984460847619</c:v>
                </c:pt>
                <c:pt idx="542">
                  <c:v>-0.25945917675595959</c:v>
                </c:pt>
                <c:pt idx="543">
                  <c:v>-0.26377380318892019</c:v>
                </c:pt>
                <c:pt idx="544">
                  <c:v>-0.26861208144063736</c:v>
                </c:pt>
                <c:pt idx="545">
                  <c:v>-0.27397235947315363</c:v>
                </c:pt>
                <c:pt idx="546">
                  <c:v>-0.27985297113453589</c:v>
                </c:pt>
                <c:pt idx="547">
                  <c:v>-0.28625223187306925</c:v>
                </c:pt>
                <c:pt idx="548">
                  <c:v>-0.29316843471256171</c:v>
                </c:pt>
                <c:pt idx="549">
                  <c:v>-0.30059984649003235</c:v>
                </c:pt>
                <c:pt idx="550">
                  <c:v>-0.30854470435442222</c:v>
                </c:pt>
                <c:pt idx="551">
                  <c:v>-0.31700121252265856</c:v>
                </c:pt>
                <c:pt idx="552">
                  <c:v>-0.32596753928743138</c:v>
                </c:pt>
                <c:pt idx="553">
                  <c:v>-0.33544181426940251</c:v>
                </c:pt>
                <c:pt idx="554">
                  <c:v>-0.34542212590527566</c:v>
                </c:pt>
                <c:pt idx="555">
                  <c:v>-0.35590651916216359</c:v>
                </c:pt>
                <c:pt idx="556">
                  <c:v>-0.36689299346798926</c:v>
                </c:pt>
                <c:pt idx="557">
                  <c:v>-0.37837950084721039</c:v>
                </c:pt>
                <c:pt idx="558">
                  <c:v>-0.39036394425092963</c:v>
                </c:pt>
                <c:pt idx="559">
                  <c:v>-0.40284417607042056</c:v>
                </c:pt>
                <c:pt idx="560">
                  <c:v>-0.4158179968232017</c:v>
                </c:pt>
                <c:pt idx="561">
                  <c:v>-0.42928315400104772</c:v>
                </c:pt>
                <c:pt idx="562">
                  <c:v>-0.44323734106964841</c:v>
                </c:pt>
                <c:pt idx="563">
                  <c:v>-0.45767819661004228</c:v>
                </c:pt>
                <c:pt idx="564">
                  <c:v>-0.47260330359240349</c:v>
                </c:pt>
                <c:pt idx="565">
                  <c:v>-0.48801018877326091</c:v>
                </c:pt>
                <c:pt idx="566">
                  <c:v>-0.50389632220772496</c:v>
                </c:pt>
                <c:pt idx="567">
                  <c:v>-0.52025911686882131</c:v>
                </c:pt>
                <c:pt idx="568">
                  <c:v>-0.53709592836653619</c:v>
                </c:pt>
                <c:pt idx="569">
                  <c:v>-0.55440405475967802</c:v>
                </c:pt>
                <c:pt idx="570">
                  <c:v>-0.57218073645414225</c:v>
                </c:pt>
                <c:pt idx="571">
                  <c:v>-0.59042315618162655</c:v>
                </c:pt>
                <c:pt idx="572">
                  <c:v>-0.60912843905328151</c:v>
                </c:pt>
                <c:pt idx="573">
                  <c:v>-0.62829365268319171</c:v>
                </c:pt>
                <c:pt idx="574">
                  <c:v>-0.64791580737697396</c:v>
                </c:pt>
                <c:pt idx="575">
                  <c:v>-0.66799185638113301</c:v>
                </c:pt>
                <c:pt idx="576">
                  <c:v>-0.68851869618915229</c:v>
                </c:pt>
                <c:pt idx="577">
                  <c:v>-0.70949316690060393</c:v>
                </c:pt>
                <c:pt idx="578">
                  <c:v>-0.73091205262985404</c:v>
                </c:pt>
                <c:pt idx="579">
                  <c:v>-0.75277208196118928</c:v>
                </c:pt>
                <c:pt idx="580">
                  <c:v>-0.77506992844744549</c:v>
                </c:pt>
                <c:pt idx="581">
                  <c:v>-0.79780221114942362</c:v>
                </c:pt>
                <c:pt idx="582">
                  <c:v>-0.8209654952135963</c:v>
                </c:pt>
                <c:pt idx="583">
                  <c:v>-0.84455629248577413</c:v>
                </c:pt>
                <c:pt idx="584">
                  <c:v>-0.86857106215858626</c:v>
                </c:pt>
                <c:pt idx="585">
                  <c:v>-0.8930062114507703</c:v>
                </c:pt>
                <c:pt idx="586">
                  <c:v>-0.91785809631640281</c:v>
                </c:pt>
                <c:pt idx="587">
                  <c:v>-0.94312302218234545</c:v>
                </c:pt>
                <c:pt idx="588">
                  <c:v>-0.96879724471227413</c:v>
                </c:pt>
                <c:pt idx="589">
                  <c:v>-0.99487697059578351</c:v>
                </c:pt>
                <c:pt idx="590">
                  <c:v>-1.0213583583611354</c:v>
                </c:pt>
                <c:pt idx="591">
                  <c:v>-1.0482375192103217</c:v>
                </c:pt>
                <c:pt idx="592">
                  <c:v>-1.0755105178751807</c:v>
                </c:pt>
                <c:pt idx="593">
                  <c:v>-1.1031733734933789</c:v>
                </c:pt>
                <c:pt idx="594">
                  <c:v>-1.1312220605031409</c:v>
                </c:pt>
                <c:pt idx="595">
                  <c:v>-1.1596525095556569</c:v>
                </c:pt>
                <c:pt idx="596">
                  <c:v>-1.1884606084441647</c:v>
                </c:pt>
                <c:pt idx="597">
                  <c:v>-1.2176422030487402</c:v>
                </c:pt>
                <c:pt idx="598">
                  <c:v>-1.2471930982958785</c:v>
                </c:pt>
                <c:pt idx="599">
                  <c:v>-1.2771090591319973</c:v>
                </c:pt>
                <c:pt idx="600">
                  <c:v>-1.3073858115100083</c:v>
                </c:pt>
                <c:pt idx="601">
                  <c:v>-1.3380190433881669</c:v>
                </c:pt>
                <c:pt idx="602">
                  <c:v>-1.3690044057404074</c:v>
                </c:pt>
                <c:pt idx="603">
                  <c:v>-1.4003375135774327</c:v>
                </c:pt>
                <c:pt idx="604">
                  <c:v>-1.4320139469778261</c:v>
                </c:pt>
                <c:pt idx="605">
                  <c:v>-1.4640292521284863</c:v>
                </c:pt>
                <c:pt idx="606">
                  <c:v>-1.4963789423737182</c:v>
                </c:pt>
                <c:pt idx="607">
                  <c:v>-1.5290584992723169</c:v>
                </c:pt>
                <c:pt idx="608">
                  <c:v>-1.5620633736620064</c:v>
                </c:pt>
                <c:pt idx="609">
                  <c:v>-1.5953889867306161</c:v>
                </c:pt>
                <c:pt idx="610">
                  <c:v>-1.629030731093384</c:v>
                </c:pt>
                <c:pt idx="611">
                  <c:v>-1.6629839718758088</c:v>
                </c:pt>
                <c:pt idx="612">
                  <c:v>-1.6972440478014543</c:v>
                </c:pt>
                <c:pt idx="613">
                  <c:v>-1.7318062722841709</c:v>
                </c:pt>
                <c:pt idx="614">
                  <c:v>-1.7666659345241511</c:v>
                </c:pt>
                <c:pt idx="615">
                  <c:v>-1.8018183006073043</c:v>
                </c:pt>
                <c:pt idx="616">
                  <c:v>-1.8372586146074095</c:v>
                </c:pt>
                <c:pt idx="617">
                  <c:v>-1.87298209969053</c:v>
                </c:pt>
                <c:pt idx="618">
                  <c:v>-1.9089839592211759</c:v>
                </c:pt>
                <c:pt idx="619">
                  <c:v>-1.9452593778697262</c:v>
                </c:pt>
                <c:pt idx="620">
                  <c:v>-1.9818035227206039</c:v>
                </c:pt>
                <c:pt idx="621">
                  <c:v>-2.0186115443807364</c:v>
                </c:pt>
                <c:pt idx="622">
                  <c:v>-2.0556785780878082</c:v>
                </c:pt>
                <c:pt idx="623">
                  <c:v>-2.0929997448178663</c:v>
                </c:pt>
                <c:pt idx="624">
                  <c:v>-2.1305701523917842</c:v>
                </c:pt>
                <c:pt idx="625">
                  <c:v>-2.1683848965801755</c:v>
                </c:pt>
                <c:pt idx="626">
                  <c:v>-2.2064390622062673</c:v>
                </c:pt>
                <c:pt idx="627">
                  <c:v>-2.2447277242463368</c:v>
                </c:pt>
                <c:pt idx="628">
                  <c:v>-2.2832459489272585</c:v>
                </c:pt>
                <c:pt idx="629">
                  <c:v>-2.321988794820748</c:v>
                </c:pt>
                <c:pt idx="630">
                  <c:v>-2.3609513139338825</c:v>
                </c:pt>
                <c:pt idx="631">
                  <c:v>-2.4001285527954983</c:v>
                </c:pt>
                <c:pt idx="632">
                  <c:v>-2.4395155535380546</c:v>
                </c:pt>
                <c:pt idx="633">
                  <c:v>-2.4791073549745715</c:v>
                </c:pt>
                <c:pt idx="634">
                  <c:v>-2.5188989936702582</c:v>
                </c:pt>
                <c:pt idx="635">
                  <c:v>-2.5588855050084516</c:v>
                </c:pt>
                <c:pt idx="636">
                  <c:v>-2.5990619242504787</c:v>
                </c:pt>
                <c:pt idx="637">
                  <c:v>-2.6394232875890968</c:v>
                </c:pt>
                <c:pt idx="638">
                  <c:v>-2.6799646331951328</c:v>
                </c:pt>
                <c:pt idx="639">
                  <c:v>-2.7206810022569758</c:v>
                </c:pt>
                <c:pt idx="640">
                  <c:v>-2.7615674400125743</c:v>
                </c:pt>
                <c:pt idx="641">
                  <c:v>-2.8026189967736141</c:v>
                </c:pt>
                <c:pt idx="642">
                  <c:v>-2.8438307289415112</c:v>
                </c:pt>
                <c:pt idx="643">
                  <c:v>-2.8851977000149325</c:v>
                </c:pt>
                <c:pt idx="644">
                  <c:v>-2.9267149815884999</c:v>
                </c:pt>
                <c:pt idx="645">
                  <c:v>-2.9683776543423788</c:v>
                </c:pt>
                <c:pt idx="646">
                  <c:v>-3.010180809022442</c:v>
                </c:pt>
                <c:pt idx="647">
                  <c:v>-3.0521195474107192</c:v>
                </c:pt>
                <c:pt idx="648">
                  <c:v>-3.0941889832858354</c:v>
                </c:pt>
                <c:pt idx="649">
                  <c:v>-3.1363842433731626</c:v>
                </c:pt>
                <c:pt idx="650">
                  <c:v>-3.1787004682844051</c:v>
                </c:pt>
                <c:pt idx="651">
                  <c:v>-3.2211328134463604</c:v>
                </c:pt>
                <c:pt idx="652">
                  <c:v>-3.2636764500185813</c:v>
                </c:pt>
                <c:pt idx="653">
                  <c:v>-3.3063265657997047</c:v>
                </c:pt>
                <c:pt idx="654">
                  <c:v>-3.349078366122197</c:v>
                </c:pt>
                <c:pt idx="655">
                  <c:v>-3.3919270747352588</c:v>
                </c:pt>
                <c:pt idx="656">
                  <c:v>-3.4348679346757023</c:v>
                </c:pt>
                <c:pt idx="657">
                  <c:v>-3.4778962091265417</c:v>
                </c:pt>
                <c:pt idx="658">
                  <c:v>-3.5210071822630944</c:v>
                </c:pt>
                <c:pt idx="659">
                  <c:v>-3.5641961600864076</c:v>
                </c:pt>
                <c:pt idx="660">
                  <c:v>-3.6074584712437701</c:v>
                </c:pt>
                <c:pt idx="661">
                  <c:v>-3.6507894678361601</c:v>
                </c:pt>
                <c:pt idx="662">
                  <c:v>-3.6941845262124233</c:v>
                </c:pt>
                <c:pt idx="663">
                  <c:v>-3.7376390477500161</c:v>
                </c:pt>
                <c:pt idx="664">
                  <c:v>-3.7811484596221372</c:v>
                </c:pt>
                <c:pt idx="665">
                  <c:v>-3.8247082155510919</c:v>
                </c:pt>
                <c:pt idx="666">
                  <c:v>-3.8683137965477612</c:v>
                </c:pt>
                <c:pt idx="667">
                  <c:v>-3.9119607116369814</c:v>
                </c:pt>
                <c:pt idx="668">
                  <c:v>-3.9556444985687449</c:v>
                </c:pt>
                <c:pt idx="669">
                  <c:v>-3.9993607245150744</c:v>
                </c:pt>
                <c:pt idx="670">
                  <c:v>-4.0431049867524615</c:v>
                </c:pt>
                <c:pt idx="671">
                  <c:v>-4.0868729133297252</c:v>
                </c:pt>
                <c:pt idx="672">
                  <c:v>-4.1306601637212355</c:v>
                </c:pt>
                <c:pt idx="673">
                  <c:v>-4.1744624294653567</c:v>
                </c:pt>
                <c:pt idx="674">
                  <c:v>-4.2182754347880618</c:v>
                </c:pt>
                <c:pt idx="675">
                  <c:v>-4.262094937211609</c:v>
                </c:pt>
                <c:pt idx="676">
                  <c:v>-4.305916728148202</c:v>
                </c:pt>
                <c:pt idx="677">
                  <c:v>-4.3497366334786056</c:v>
                </c:pt>
                <c:pt idx="678">
                  <c:v>-4.3935505141156099</c:v>
                </c:pt>
                <c:pt idx="679">
                  <c:v>-4.4373542665523251</c:v>
                </c:pt>
                <c:pt idx="680">
                  <c:v>-4.4811438233952394</c:v>
                </c:pt>
                <c:pt idx="681">
                  <c:v>-4.5249151538820351</c:v>
                </c:pt>
                <c:pt idx="682">
                  <c:v>-4.5686642643840889</c:v>
                </c:pt>
                <c:pt idx="683">
                  <c:v>-4.6123871988936767</c:v>
                </c:pt>
                <c:pt idx="684">
                  <c:v>-4.6560800394958326</c:v>
                </c:pt>
                <c:pt idx="685">
                  <c:v>-4.6997389068248916</c:v>
                </c:pt>
                <c:pt idx="686">
                  <c:v>-4.7433599605056624</c:v>
                </c:pt>
                <c:pt idx="687">
                  <c:v>-4.7869393995793033</c:v>
                </c:pt>
                <c:pt idx="688">
                  <c:v>-4.8304734629138464</c:v>
                </c:pt>
                <c:pt idx="689">
                  <c:v>-4.8739584295994351</c:v>
                </c:pt>
                <c:pt idx="690">
                  <c:v>-4.9173906193282892</c:v>
                </c:pt>
                <c:pt idx="691">
                  <c:v>-4.9607663927594192</c:v>
                </c:pt>
                <c:pt idx="692">
                  <c:v>-5.0040821518681344</c:v>
                </c:pt>
                <c:pt idx="693">
                  <c:v>-5.0473343402804014</c:v>
                </c:pt>
                <c:pt idx="694">
                  <c:v>-5.0905194435920871</c:v>
                </c:pt>
                <c:pt idx="695">
                  <c:v>-5.1336339896731609</c:v>
                </c:pt>
                <c:pt idx="696">
                  <c:v>-5.1766745489569015</c:v>
                </c:pt>
                <c:pt idx="697">
                  <c:v>-5.2196377347141913</c:v>
                </c:pt>
                <c:pt idx="698">
                  <c:v>-5.2625202033129774</c:v>
                </c:pt>
                <c:pt idx="699">
                  <c:v>-5.3053186544629565</c:v>
                </c:pt>
                <c:pt idx="700">
                  <c:v>-5.3480298314455972</c:v>
                </c:pt>
                <c:pt idx="701">
                  <c:v>-5.3906505213295928</c:v>
                </c:pt>
                <c:pt idx="702">
                  <c:v>-5.4331775551718202</c:v>
                </c:pt>
                <c:pt idx="703">
                  <c:v>-5.4756078082038986</c:v>
                </c:pt>
                <c:pt idx="704">
                  <c:v>-5.517938200004517</c:v>
                </c:pt>
                <c:pt idx="705">
                  <c:v>-5.560165694657571</c:v>
                </c:pt>
                <c:pt idx="706">
                  <c:v>-5.602287300896279</c:v>
                </c:pt>
                <c:pt idx="707">
                  <c:v>-5.6443000722333467</c:v>
                </c:pt>
                <c:pt idx="708">
                  <c:v>-5.6862011070773937</c:v>
                </c:pt>
                <c:pt idx="709">
                  <c:v>-5.7279875488356611</c:v>
                </c:pt>
                <c:pt idx="710">
                  <c:v>-5.7696565860032347</c:v>
                </c:pt>
                <c:pt idx="711">
                  <c:v>-5.8112054522388572</c:v>
                </c:pt>
                <c:pt idx="712">
                  <c:v>-5.8526314264275312</c:v>
                </c:pt>
                <c:pt idx="713">
                  <c:v>-5.8939318327299812</c:v>
                </c:pt>
                <c:pt idx="714">
                  <c:v>-5.9351040406192297</c:v>
                </c:pt>
                <c:pt idx="715">
                  <c:v>-5.9761454649043539</c:v>
                </c:pt>
                <c:pt idx="716">
                  <c:v>-6.0170535657416044</c:v>
                </c:pt>
                <c:pt idx="717">
                  <c:v>-6.0578258486331036</c:v>
                </c:pt>
                <c:pt idx="718">
                  <c:v>-6.0578663727679034</c:v>
                </c:pt>
                <c:pt idx="719">
                  <c:v>-6.0579068967650267</c:v>
                </c:pt>
                <c:pt idx="720">
                  <c:v>-6.0579474206244655</c:v>
                </c:pt>
                <c:pt idx="721">
                  <c:v>-6.0579879443462179</c:v>
                </c:pt>
                <c:pt idx="722">
                  <c:v>-6.0580284679302796</c:v>
                </c:pt>
                <c:pt idx="723">
                  <c:v>-6.058068991376655</c:v>
                </c:pt>
                <c:pt idx="724">
                  <c:v>-6.0581095146853388</c:v>
                </c:pt>
                <c:pt idx="725">
                  <c:v>-6.0581500378563211</c:v>
                </c:pt>
                <c:pt idx="726">
                  <c:v>-6.0581905608896101</c:v>
                </c:pt>
                <c:pt idx="727">
                  <c:v>-6.0582310837852011</c:v>
                </c:pt>
                <c:pt idx="728">
                  <c:v>-6.0582716065430846</c:v>
                </c:pt>
                <c:pt idx="729">
                  <c:v>-6.0583121291632649</c:v>
                </c:pt>
                <c:pt idx="730">
                  <c:v>-6.0583526516457393</c:v>
                </c:pt>
                <c:pt idx="731">
                  <c:v>-6.0583931739905044</c:v>
                </c:pt>
                <c:pt idx="732">
                  <c:v>-6.0584336961975538</c:v>
                </c:pt>
                <c:pt idx="733">
                  <c:v>-6.0584742182668929</c:v>
                </c:pt>
                <c:pt idx="734">
                  <c:v>-6.0585147401985129</c:v>
                </c:pt>
                <c:pt idx="735">
                  <c:v>-6.0585552619924137</c:v>
                </c:pt>
                <c:pt idx="736">
                  <c:v>-6.0585957836485909</c:v>
                </c:pt>
                <c:pt idx="737">
                  <c:v>-6.0586363051670471</c:v>
                </c:pt>
                <c:pt idx="738">
                  <c:v>-6.0586768265477797</c:v>
                </c:pt>
                <c:pt idx="739">
                  <c:v>-6.0587173477907825</c:v>
                </c:pt>
                <c:pt idx="740">
                  <c:v>-6.0587578688960475</c:v>
                </c:pt>
                <c:pt idx="741">
                  <c:v>-6.0587983898635871</c:v>
                </c:pt>
                <c:pt idx="742">
                  <c:v>-6.0588389106933862</c:v>
                </c:pt>
                <c:pt idx="743">
                  <c:v>-6.0588794313854466</c:v>
                </c:pt>
                <c:pt idx="744">
                  <c:v>-6.0589199519397701</c:v>
                </c:pt>
                <c:pt idx="745">
                  <c:v>-6.0589604723563504</c:v>
                </c:pt>
                <c:pt idx="746">
                  <c:v>-6.0590009926351813</c:v>
                </c:pt>
                <c:pt idx="747">
                  <c:v>-6.0590415127762656</c:v>
                </c:pt>
                <c:pt idx="748">
                  <c:v>-6.0590820327796013</c:v>
                </c:pt>
                <c:pt idx="749">
                  <c:v>-6.0591225526451824</c:v>
                </c:pt>
                <c:pt idx="750">
                  <c:v>-6.0591630723730097</c:v>
                </c:pt>
                <c:pt idx="751">
                  <c:v>-6.0592035919630804</c:v>
                </c:pt>
                <c:pt idx="752">
                  <c:v>-6.0592441114153903</c:v>
                </c:pt>
                <c:pt idx="753">
                  <c:v>-6.0592846307299393</c:v>
                </c:pt>
                <c:pt idx="754">
                  <c:v>-6.059325149906722</c:v>
                </c:pt>
                <c:pt idx="755">
                  <c:v>-6.0593656689457385</c:v>
                </c:pt>
                <c:pt idx="756">
                  <c:v>-6.0594061878469869</c:v>
                </c:pt>
                <c:pt idx="757">
                  <c:v>-6.0594467066104629</c:v>
                </c:pt>
                <c:pt idx="758">
                  <c:v>-6.059487225236162</c:v>
                </c:pt>
                <c:pt idx="759">
                  <c:v>-6.0595277437240878</c:v>
                </c:pt>
                <c:pt idx="760">
                  <c:v>-6.0595682620742357</c:v>
                </c:pt>
                <c:pt idx="761">
                  <c:v>-6.0596087802865979</c:v>
                </c:pt>
                <c:pt idx="762">
                  <c:v>-6.0596492983611796</c:v>
                </c:pt>
                <c:pt idx="763">
                  <c:v>-6.0596898162979791</c:v>
                </c:pt>
                <c:pt idx="764">
                  <c:v>-6.0597303340969866</c:v>
                </c:pt>
                <c:pt idx="765">
                  <c:v>-6.0597708517582021</c:v>
                </c:pt>
                <c:pt idx="766">
                  <c:v>-6.059811369281622</c:v>
                </c:pt>
                <c:pt idx="767">
                  <c:v>-6.0598518866672508</c:v>
                </c:pt>
                <c:pt idx="768">
                  <c:v>-6.0598924039150823</c:v>
                </c:pt>
                <c:pt idx="769">
                  <c:v>-6.0599329210251121</c:v>
                </c:pt>
                <c:pt idx="770">
                  <c:v>-6.05997343799734</c:v>
                </c:pt>
                <c:pt idx="771">
                  <c:v>-6.0600139548317618</c:v>
                </c:pt>
                <c:pt idx="772">
                  <c:v>-6.0600544715283764</c:v>
                </c:pt>
                <c:pt idx="773">
                  <c:v>-6.0600949880871813</c:v>
                </c:pt>
                <c:pt idx="774">
                  <c:v>-6.060135504508172</c:v>
                </c:pt>
                <c:pt idx="775">
                  <c:v>-6.0601760207913502</c:v>
                </c:pt>
                <c:pt idx="776">
                  <c:v>-6.0602165369367125</c:v>
                </c:pt>
                <c:pt idx="777">
                  <c:v>-6.0602570529442543</c:v>
                </c:pt>
                <c:pt idx="778">
                  <c:v>-6.0602975688139757</c:v>
                </c:pt>
                <c:pt idx="779">
                  <c:v>-6.0603380845458705</c:v>
                </c:pt>
                <c:pt idx="780">
                  <c:v>-6.0603786001399405</c:v>
                </c:pt>
                <c:pt idx="781">
                  <c:v>-6.060419115596182</c:v>
                </c:pt>
                <c:pt idx="782">
                  <c:v>-6.0604596309145906</c:v>
                </c:pt>
                <c:pt idx="783">
                  <c:v>-6.0605001460951646</c:v>
                </c:pt>
                <c:pt idx="784">
                  <c:v>-6.060540661137904</c:v>
                </c:pt>
                <c:pt idx="785">
                  <c:v>-6.0605811760428079</c:v>
                </c:pt>
                <c:pt idx="786">
                  <c:v>-6.0606216908098673</c:v>
                </c:pt>
                <c:pt idx="787">
                  <c:v>-6.0606622054390842</c:v>
                </c:pt>
                <c:pt idx="788">
                  <c:v>-6.0607027199304557</c:v>
                </c:pt>
                <c:pt idx="789">
                  <c:v>-6.060743234283982</c:v>
                </c:pt>
                <c:pt idx="790">
                  <c:v>-6.0607837484996532</c:v>
                </c:pt>
                <c:pt idx="791">
                  <c:v>-6.0608242625774773</c:v>
                </c:pt>
                <c:pt idx="792">
                  <c:v>-6.0608647765174393</c:v>
                </c:pt>
                <c:pt idx="793">
                  <c:v>-6.0609052903195453</c:v>
                </c:pt>
                <c:pt idx="794">
                  <c:v>-6.0609458039837953</c:v>
                </c:pt>
                <c:pt idx="795">
                  <c:v>-6.0609863175101824</c:v>
                </c:pt>
                <c:pt idx="796">
                  <c:v>-6.0610268308987063</c:v>
                </c:pt>
                <c:pt idx="797">
                  <c:v>-6.0610673441493601</c:v>
                </c:pt>
                <c:pt idx="798">
                  <c:v>-6.0611078572621455</c:v>
                </c:pt>
                <c:pt idx="799">
                  <c:v>-6.0611483702370608</c:v>
                </c:pt>
                <c:pt idx="800">
                  <c:v>-6.061188883074097</c:v>
                </c:pt>
                <c:pt idx="801">
                  <c:v>-6.0612293957732577</c:v>
                </c:pt>
                <c:pt idx="802">
                  <c:v>-6.0612699083345429</c:v>
                </c:pt>
                <c:pt idx="803">
                  <c:v>-6.0613104207579402</c:v>
                </c:pt>
                <c:pt idx="804">
                  <c:v>-6.0613509330434612</c:v>
                </c:pt>
                <c:pt idx="805">
                  <c:v>-6.0613914451910924</c:v>
                </c:pt>
                <c:pt idx="806">
                  <c:v>-6.0614319572008375</c:v>
                </c:pt>
                <c:pt idx="807">
                  <c:v>-6.0614724690726911</c:v>
                </c:pt>
                <c:pt idx="808">
                  <c:v>-6.0615129808066497</c:v>
                </c:pt>
                <c:pt idx="809">
                  <c:v>-6.0615534924027186</c:v>
                </c:pt>
                <c:pt idx="810">
                  <c:v>-6.0615940038608844</c:v>
                </c:pt>
                <c:pt idx="811">
                  <c:v>-6.0616345151811482</c:v>
                </c:pt>
                <c:pt idx="812">
                  <c:v>-6.0616750263635151</c:v>
                </c:pt>
                <c:pt idx="813">
                  <c:v>-6.0617155374079736</c:v>
                </c:pt>
                <c:pt idx="814">
                  <c:v>-6.0617560483145203</c:v>
                </c:pt>
                <c:pt idx="815">
                  <c:v>-6.0617965590831613</c:v>
                </c:pt>
                <c:pt idx="816">
                  <c:v>-6.0618370697138868</c:v>
                </c:pt>
                <c:pt idx="817">
                  <c:v>-6.0618775802067031</c:v>
                </c:pt>
                <c:pt idx="818">
                  <c:v>-6.0619180905615995</c:v>
                </c:pt>
                <c:pt idx="819">
                  <c:v>-6.0619586007785768</c:v>
                </c:pt>
                <c:pt idx="820">
                  <c:v>-6.0619991108576317</c:v>
                </c:pt>
                <c:pt idx="821">
                  <c:v>-6.0620396207987621</c:v>
                </c:pt>
                <c:pt idx="822">
                  <c:v>-6.0620801306019727</c:v>
                </c:pt>
                <c:pt idx="823">
                  <c:v>-6.0621206402672447</c:v>
                </c:pt>
                <c:pt idx="824">
                  <c:v>-6.0621611497945906</c:v>
                </c:pt>
                <c:pt idx="825">
                  <c:v>-6.0622016591839998</c:v>
                </c:pt>
                <c:pt idx="826">
                  <c:v>-6.0622421684354757</c:v>
                </c:pt>
                <c:pt idx="827">
                  <c:v>-6.0622826775490113</c:v>
                </c:pt>
                <c:pt idx="828">
                  <c:v>-6.062323186524611</c:v>
                </c:pt>
                <c:pt idx="829">
                  <c:v>-6.0623636953622615</c:v>
                </c:pt>
                <c:pt idx="830">
                  <c:v>-6.0624042040619663</c:v>
                </c:pt>
                <c:pt idx="831">
                  <c:v>-6.0624447126237238</c:v>
                </c:pt>
                <c:pt idx="832">
                  <c:v>-6.0624852210475337</c:v>
                </c:pt>
                <c:pt idx="833">
                  <c:v>-6.0625257293333865</c:v>
                </c:pt>
                <c:pt idx="834">
                  <c:v>-6.0625662374812865</c:v>
                </c:pt>
                <c:pt idx="835">
                  <c:v>-6.0626067454912302</c:v>
                </c:pt>
                <c:pt idx="836">
                  <c:v>-6.0626472533632132</c:v>
                </c:pt>
                <c:pt idx="837">
                  <c:v>-6.0626877610972327</c:v>
                </c:pt>
                <c:pt idx="838">
                  <c:v>-6.0627282686932862</c:v>
                </c:pt>
                <c:pt idx="839">
                  <c:v>-6.0627687761513762</c:v>
                </c:pt>
                <c:pt idx="840">
                  <c:v>-6.0628092834714966</c:v>
                </c:pt>
                <c:pt idx="841">
                  <c:v>-6.0628497906536447</c:v>
                </c:pt>
                <c:pt idx="842">
                  <c:v>-6.0628902976978161</c:v>
                </c:pt>
                <c:pt idx="843">
                  <c:v>-6.0629308046040142</c:v>
                </c:pt>
                <c:pt idx="844">
                  <c:v>-6.0629713113722286</c:v>
                </c:pt>
                <c:pt idx="845">
                  <c:v>-6.0630118180024644</c:v>
                </c:pt>
                <c:pt idx="846">
                  <c:v>-6.0630523244947208</c:v>
                </c:pt>
                <c:pt idx="847">
                  <c:v>-6.0630928308489844</c:v>
                </c:pt>
                <c:pt idx="848">
                  <c:v>-6.0631333370652651</c:v>
                </c:pt>
                <c:pt idx="849">
                  <c:v>-6.0631738431435505</c:v>
                </c:pt>
                <c:pt idx="850">
                  <c:v>-6.063214349083843</c:v>
                </c:pt>
                <c:pt idx="851">
                  <c:v>-6.063254854886142</c:v>
                </c:pt>
                <c:pt idx="852">
                  <c:v>-6.0632953605504403</c:v>
                </c:pt>
                <c:pt idx="853">
                  <c:v>-6.0633358660767422</c:v>
                </c:pt>
                <c:pt idx="854">
                  <c:v>-6.0633763714650346</c:v>
                </c:pt>
                <c:pt idx="855">
                  <c:v>-6.0634168767153271</c:v>
                </c:pt>
                <c:pt idx="856">
                  <c:v>-6.0634573818276154</c:v>
                </c:pt>
                <c:pt idx="857">
                  <c:v>-6.0634978868018887</c:v>
                </c:pt>
                <c:pt idx="858">
                  <c:v>-6.0635383916381533</c:v>
                </c:pt>
                <c:pt idx="859">
                  <c:v>-6.0635788963364003</c:v>
                </c:pt>
                <c:pt idx="860">
                  <c:v>-6.0636194008966271</c:v>
                </c:pt>
                <c:pt idx="861">
                  <c:v>-6.0636599053188398</c:v>
                </c:pt>
                <c:pt idx="862">
                  <c:v>-6.0637004096030296</c:v>
                </c:pt>
                <c:pt idx="863">
                  <c:v>-6.0637409137491973</c:v>
                </c:pt>
                <c:pt idx="864">
                  <c:v>-6.0637814177573368</c:v>
                </c:pt>
                <c:pt idx="865">
                  <c:v>-6.0638219216274445</c:v>
                </c:pt>
                <c:pt idx="866">
                  <c:v>-6.063862425359523</c:v>
                </c:pt>
                <c:pt idx="867">
                  <c:v>-6.0639029289535697</c:v>
                </c:pt>
                <c:pt idx="868">
                  <c:v>-6.0639434324095758</c:v>
                </c:pt>
                <c:pt idx="869">
                  <c:v>-6.0639839357275509</c:v>
                </c:pt>
                <c:pt idx="870">
                  <c:v>-6.0640244389074747</c:v>
                </c:pt>
                <c:pt idx="871">
                  <c:v>-6.0640649419493604</c:v>
                </c:pt>
                <c:pt idx="872">
                  <c:v>-6.064105444853201</c:v>
                </c:pt>
                <c:pt idx="873">
                  <c:v>-6.0641459476189947</c:v>
                </c:pt>
                <c:pt idx="874">
                  <c:v>-6.0641864502467344</c:v>
                </c:pt>
                <c:pt idx="875">
                  <c:v>-6.0642269527364228</c:v>
                </c:pt>
                <c:pt idx="876">
                  <c:v>-6.064267455088058</c:v>
                </c:pt>
                <c:pt idx="877">
                  <c:v>-6.0643079573016347</c:v>
                </c:pt>
                <c:pt idx="878">
                  <c:v>-6.0643484593771504</c:v>
                </c:pt>
                <c:pt idx="879">
                  <c:v>-6.0643889613146031</c:v>
                </c:pt>
                <c:pt idx="880">
                  <c:v>-6.0644294631139939</c:v>
                </c:pt>
                <c:pt idx="881">
                  <c:v>-6.0644699647753164</c:v>
                </c:pt>
                <c:pt idx="882">
                  <c:v>-6.064510466298568</c:v>
                </c:pt>
                <c:pt idx="883">
                  <c:v>-6.0645509676837523</c:v>
                </c:pt>
                <c:pt idx="884">
                  <c:v>-6.0645914689308604</c:v>
                </c:pt>
                <c:pt idx="885">
                  <c:v>-6.0646319700398887</c:v>
                </c:pt>
                <c:pt idx="886">
                  <c:v>-6.0646724710108408</c:v>
                </c:pt>
                <c:pt idx="887">
                  <c:v>-6.0647129718437105</c:v>
                </c:pt>
                <c:pt idx="888">
                  <c:v>-6.0647534725384995</c:v>
                </c:pt>
                <c:pt idx="889">
                  <c:v>-6.0647939730951999</c:v>
                </c:pt>
                <c:pt idx="890">
                  <c:v>-6.064834473513808</c:v>
                </c:pt>
                <c:pt idx="891">
                  <c:v>-6.0648749737943346</c:v>
                </c:pt>
                <c:pt idx="892">
                  <c:v>-6.0649154739367557</c:v>
                </c:pt>
                <c:pt idx="893">
                  <c:v>-6.0649559739410908</c:v>
                </c:pt>
                <c:pt idx="894">
                  <c:v>-6.0649964738073274</c:v>
                </c:pt>
                <c:pt idx="895">
                  <c:v>-6.0650369735354612</c:v>
                </c:pt>
                <c:pt idx="896">
                  <c:v>-6.0650774731254939</c:v>
                </c:pt>
                <c:pt idx="897">
                  <c:v>-6.0651179725774211</c:v>
                </c:pt>
                <c:pt idx="898">
                  <c:v>-6.065158471891241</c:v>
                </c:pt>
                <c:pt idx="899">
                  <c:v>-6.0651989710669483</c:v>
                </c:pt>
                <c:pt idx="900">
                  <c:v>-6.0652394701045464</c:v>
                </c:pt>
                <c:pt idx="901">
                  <c:v>-6.0652799690040267</c:v>
                </c:pt>
                <c:pt idx="902">
                  <c:v>-6.065320467765396</c:v>
                </c:pt>
                <c:pt idx="903">
                  <c:v>-6.0653609663886421</c:v>
                </c:pt>
                <c:pt idx="904">
                  <c:v>-6.065401464873764</c:v>
                </c:pt>
                <c:pt idx="905">
                  <c:v>-6.0654419632207643</c:v>
                </c:pt>
                <c:pt idx="906">
                  <c:v>-6.0654824614296352</c:v>
                </c:pt>
                <c:pt idx="907">
                  <c:v>-6.0655229595003801</c:v>
                </c:pt>
                <c:pt idx="908">
                  <c:v>-6.0655634574329946</c:v>
                </c:pt>
                <c:pt idx="909">
                  <c:v>-6.0656039552274734</c:v>
                </c:pt>
                <c:pt idx="910">
                  <c:v>-6.0656444528838183</c:v>
                </c:pt>
                <c:pt idx="911">
                  <c:v>-6.0656849504020238</c:v>
                </c:pt>
                <c:pt idx="912">
                  <c:v>-6.0657254477820866</c:v>
                </c:pt>
                <c:pt idx="913">
                  <c:v>-6.0657659450240109</c:v>
                </c:pt>
                <c:pt idx="914">
                  <c:v>-6.0658064421277844</c:v>
                </c:pt>
                <c:pt idx="915">
                  <c:v>-6.0658469390934169</c:v>
                </c:pt>
                <c:pt idx="916">
                  <c:v>-6.0658874359208923</c:v>
                </c:pt>
                <c:pt idx="917">
                  <c:v>-6.0659279326102213</c:v>
                </c:pt>
                <c:pt idx="918">
                  <c:v>-6.0659684291613889</c:v>
                </c:pt>
                <c:pt idx="919">
                  <c:v>-6.066008925574403</c:v>
                </c:pt>
                <c:pt idx="920">
                  <c:v>-6.0660494218492573</c:v>
                </c:pt>
                <c:pt idx="921">
                  <c:v>-6.0660899179859484</c:v>
                </c:pt>
                <c:pt idx="922">
                  <c:v>-6.0661304139844754</c:v>
                </c:pt>
                <c:pt idx="923">
                  <c:v>-6.0661709098448338</c:v>
                </c:pt>
                <c:pt idx="924">
                  <c:v>-6.0662114055670244</c:v>
                </c:pt>
                <c:pt idx="925">
                  <c:v>-6.0662519011510412</c:v>
                </c:pt>
                <c:pt idx="926">
                  <c:v>-6.0662923965968876</c:v>
                </c:pt>
                <c:pt idx="927">
                  <c:v>-6.066332891904552</c:v>
                </c:pt>
                <c:pt idx="928">
                  <c:v>-6.0663733870740426</c:v>
                </c:pt>
                <c:pt idx="929">
                  <c:v>-6.0664138821053513</c:v>
                </c:pt>
                <c:pt idx="930">
                  <c:v>-6.0664543769984745</c:v>
                </c:pt>
                <c:pt idx="931">
                  <c:v>-6.0664948717534122</c:v>
                </c:pt>
                <c:pt idx="932">
                  <c:v>-6.0665353663701662</c:v>
                </c:pt>
                <c:pt idx="933">
                  <c:v>-6.0665758608487224</c:v>
                </c:pt>
                <c:pt idx="934">
                  <c:v>-6.0666163551890886</c:v>
                </c:pt>
                <c:pt idx="935">
                  <c:v>-6.0666568493912605</c:v>
                </c:pt>
                <c:pt idx="936">
                  <c:v>-6.0666973434552318</c:v>
                </c:pt>
                <c:pt idx="937">
                  <c:v>-6.0667378373810079</c:v>
                </c:pt>
                <c:pt idx="938">
                  <c:v>-6.0667783311685737</c:v>
                </c:pt>
                <c:pt idx="939">
                  <c:v>-6.0668188248179407</c:v>
                </c:pt>
                <c:pt idx="940">
                  <c:v>-6.0668593183290982</c:v>
                </c:pt>
                <c:pt idx="941">
                  <c:v>-6.0668998117020436</c:v>
                </c:pt>
                <c:pt idx="942">
                  <c:v>-6.0669403049367823</c:v>
                </c:pt>
                <c:pt idx="943">
                  <c:v>-6.0669807980333053</c:v>
                </c:pt>
                <c:pt idx="944">
                  <c:v>-6.0670212909916099</c:v>
                </c:pt>
                <c:pt idx="945">
                  <c:v>-6.0670617838116954</c:v>
                </c:pt>
                <c:pt idx="946">
                  <c:v>-6.0671022764935598</c:v>
                </c:pt>
                <c:pt idx="947">
                  <c:v>-6.0671427690372006</c:v>
                </c:pt>
                <c:pt idx="948">
                  <c:v>-6.0671832614426178</c:v>
                </c:pt>
                <c:pt idx="949">
                  <c:v>-6.0672237537098015</c:v>
                </c:pt>
                <c:pt idx="950">
                  <c:v>-6.0672642458387562</c:v>
                </c:pt>
                <c:pt idx="951">
                  <c:v>-6.0673047378294722</c:v>
                </c:pt>
                <c:pt idx="952">
                  <c:v>-6.0673452296819601</c:v>
                </c:pt>
                <c:pt idx="953">
                  <c:v>-6.0673857213962039</c:v>
                </c:pt>
                <c:pt idx="954">
                  <c:v>-6.0674262129722125</c:v>
                </c:pt>
                <c:pt idx="955">
                  <c:v>-6.0674667044099735</c:v>
                </c:pt>
                <c:pt idx="956">
                  <c:v>-6.0675071957094904</c:v>
                </c:pt>
                <c:pt idx="957">
                  <c:v>-6.0675476868707623</c:v>
                </c:pt>
                <c:pt idx="958">
                  <c:v>-6.0675881778937812</c:v>
                </c:pt>
                <c:pt idx="959">
                  <c:v>-6.0676286687785481</c:v>
                </c:pt>
                <c:pt idx="960">
                  <c:v>-6.0676691595250611</c:v>
                </c:pt>
                <c:pt idx="961">
                  <c:v>-6.0677096501333168</c:v>
                </c:pt>
                <c:pt idx="962">
                  <c:v>-6.0677501406033114</c:v>
                </c:pt>
                <c:pt idx="963">
                  <c:v>-6.0677906309350451</c:v>
                </c:pt>
                <c:pt idx="964">
                  <c:v>-6.0678311211285125</c:v>
                </c:pt>
                <c:pt idx="965">
                  <c:v>-6.0678716111837154</c:v>
                </c:pt>
                <c:pt idx="966">
                  <c:v>-6.0679121011006494</c:v>
                </c:pt>
                <c:pt idx="967">
                  <c:v>-6.0679525908793108</c:v>
                </c:pt>
                <c:pt idx="968">
                  <c:v>-6.067993080519698</c:v>
                </c:pt>
                <c:pt idx="969">
                  <c:v>-6.0680335700218091</c:v>
                </c:pt>
                <c:pt idx="970">
                  <c:v>-6.0680740593856433</c:v>
                </c:pt>
                <c:pt idx="971">
                  <c:v>-6.068114548611196</c:v>
                </c:pt>
                <c:pt idx="972">
                  <c:v>-6.0681550376984665</c:v>
                </c:pt>
                <c:pt idx="973">
                  <c:v>-6.0681955266474503</c:v>
                </c:pt>
                <c:pt idx="974">
                  <c:v>-6.0682360154581456</c:v>
                </c:pt>
                <c:pt idx="975">
                  <c:v>-6.0682765041305533</c:v>
                </c:pt>
                <c:pt idx="976">
                  <c:v>-6.0683169926646618</c:v>
                </c:pt>
                <c:pt idx="977">
                  <c:v>-6.0683574810604792</c:v>
                </c:pt>
                <c:pt idx="978">
                  <c:v>-6.0683979693180001</c:v>
                </c:pt>
                <c:pt idx="979">
                  <c:v>-6.0684384574372219</c:v>
                </c:pt>
                <c:pt idx="980">
                  <c:v>-6.0684789454181365</c:v>
                </c:pt>
                <c:pt idx="981">
                  <c:v>-6.0685194332607484</c:v>
                </c:pt>
                <c:pt idx="982">
                  <c:v>-6.0685599209650549</c:v>
                </c:pt>
                <c:pt idx="983">
                  <c:v>-6.0686004085310481</c:v>
                </c:pt>
                <c:pt idx="984">
                  <c:v>-6.0686408959587315</c:v>
                </c:pt>
                <c:pt idx="985">
                  <c:v>-6.0686813832481006</c:v>
                </c:pt>
                <c:pt idx="986">
                  <c:v>-6.0687218703991546</c:v>
                </c:pt>
                <c:pt idx="987">
                  <c:v>-6.0687623574118863</c:v>
                </c:pt>
                <c:pt idx="988">
                  <c:v>-6.0688028442862985</c:v>
                </c:pt>
                <c:pt idx="989">
                  <c:v>-6.0688433310223875</c:v>
                </c:pt>
                <c:pt idx="990">
                  <c:v>-6.0688838176201489</c:v>
                </c:pt>
                <c:pt idx="991">
                  <c:v>-6.0689243040795828</c:v>
                </c:pt>
                <c:pt idx="992">
                  <c:v>-6.0689647904006874</c:v>
                </c:pt>
                <c:pt idx="993">
                  <c:v>-6.0690052765834581</c:v>
                </c:pt>
                <c:pt idx="994">
                  <c:v>-6.0690457626278898</c:v>
                </c:pt>
                <c:pt idx="995">
                  <c:v>-6.0690862485339849</c:v>
                </c:pt>
                <c:pt idx="996">
                  <c:v>-6.0691267343017454</c:v>
                </c:pt>
                <c:pt idx="997">
                  <c:v>-6.069167219931157</c:v>
                </c:pt>
                <c:pt idx="998">
                  <c:v>-6.069207705422226</c:v>
                </c:pt>
                <c:pt idx="999">
                  <c:v>-6.0692481907749469</c:v>
                </c:pt>
                <c:pt idx="1000">
                  <c:v>-6.0692886759893163</c:v>
                </c:pt>
              </c:numCache>
            </c:numRef>
          </c:yVal>
          <c:smooth val="0"/>
          <c:extLst>
            <c:ext xmlns:c16="http://schemas.microsoft.com/office/drawing/2014/chart" uri="{C3380CC4-5D6E-409C-BE32-E72D297353CC}">
              <c16:uniqueId val="{00000001-1381-4C26-9364-ABD4810FE6CB}"/>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Calculs!$J$4:$J$1004</c:f>
              <c:numCache>
                <c:formatCode>0.00</c:formatCode>
                <c:ptCount val="1001"/>
                <c:pt idx="0">
                  <c:v>0</c:v>
                </c:pt>
                <c:pt idx="1">
                  <c:v>0</c:v>
                </c:pt>
                <c:pt idx="2">
                  <c:v>1.5631936909883714E-4</c:v>
                </c:pt>
                <c:pt idx="3">
                  <c:v>7.8550326380374459E-4</c:v>
                </c:pt>
                <c:pt idx="4">
                  <c:v>2.2081288032777301E-3</c:v>
                </c:pt>
                <c:pt idx="5">
                  <c:v>4.7450678833001539E-3</c:v>
                </c:pt>
                <c:pt idx="6">
                  <c:v>8.6364034645991135E-3</c:v>
                </c:pt>
                <c:pt idx="7">
                  <c:v>1.3960162340363059E-2</c:v>
                </c:pt>
                <c:pt idx="8">
                  <c:v>2.071326764051111E-2</c:v>
                </c:pt>
                <c:pt idx="9">
                  <c:v>2.8892631188099566E-2</c:v>
                </c:pt>
                <c:pt idx="10">
                  <c:v>3.8495153537948537E-2</c:v>
                </c:pt>
                <c:pt idx="11">
                  <c:v>4.9517724015563327E-2</c:v>
                </c:pt>
                <c:pt idx="12">
                  <c:v>6.1957220756348269E-2</c:v>
                </c:pt>
                <c:pt idx="13">
                  <c:v>7.5810510745110721E-2</c:v>
                </c:pt>
                <c:pt idx="14">
                  <c:v>9.1074449855852765E-2</c:v>
                </c:pt>
                <c:pt idx="15">
                  <c:v>0.10774588289184846</c:v>
                </c:pt>
                <c:pt idx="16">
                  <c:v>0.12582164362600401</c:v>
                </c:pt>
                <c:pt idx="17">
                  <c:v>0.14529855484149876</c:v>
                </c:pt>
                <c:pt idx="18">
                  <c:v>0.16617342837270424</c:v>
                </c:pt>
                <c:pt idx="19">
                  <c:v>0.18844306514637918</c:v>
                </c:pt>
                <c:pt idx="20">
                  <c:v>0.21210425522313792</c:v>
                </c:pt>
                <c:pt idx="21">
                  <c:v>0.23715377783918953</c:v>
                </c:pt>
                <c:pt idx="22">
                  <c:v>0.26358840144834567</c:v>
                </c:pt>
                <c:pt idx="23">
                  <c:v>0.29140488376429419</c:v>
                </c:pt>
                <c:pt idx="24">
                  <c:v>0.32059997180313626</c:v>
                </c:pt>
                <c:pt idx="25">
                  <c:v>0.35117040192618432</c:v>
                </c:pt>
                <c:pt idx="26">
                  <c:v>0.38311289988301866</c:v>
                </c:pt>
                <c:pt idx="27">
                  <c:v>0.41642418085479949</c:v>
                </c:pt>
                <c:pt idx="28">
                  <c:v>0.45110094949783253</c:v>
                </c:pt>
                <c:pt idx="29">
                  <c:v>0.48713989998738527</c:v>
                </c:pt>
                <c:pt idx="30">
                  <c:v>0.52453771606175126</c:v>
                </c:pt>
                <c:pt idx="31">
                  <c:v>0.56329107106655985</c:v>
                </c:pt>
                <c:pt idx="32">
                  <c:v>0.60339662799932881</c:v>
                </c:pt>
                <c:pt idx="33">
                  <c:v>0.64485103955425727</c:v>
                </c:pt>
                <c:pt idx="34">
                  <c:v>0.68765094816725625</c:v>
                </c:pt>
                <c:pt idx="35">
                  <c:v>0.73179298606121401</c:v>
                </c:pt>
                <c:pt idx="36">
                  <c:v>0.77735769229464513</c:v>
                </c:pt>
                <c:pt idx="37">
                  <c:v>0.82442828466501361</c:v>
                </c:pt>
                <c:pt idx="38">
                  <c:v>0.87300670304832839</c:v>
                </c:pt>
                <c:pt idx="39">
                  <c:v>0.92309476208632923</c:v>
                </c:pt>
                <c:pt idx="40">
                  <c:v>0.97469411913530202</c:v>
                </c:pt>
                <c:pt idx="41">
                  <c:v>1.0278062814294457</c:v>
                </c:pt>
                <c:pt idx="42">
                  <c:v>1.0824326127043136</c:v>
                </c:pt>
                <c:pt idx="43">
                  <c:v>1.1385743393343224</c:v>
                </c:pt>
                <c:pt idx="44">
                  <c:v>1.1962325560316953</c:v>
                </c:pt>
                <c:pt idx="45">
                  <c:v>1.2554082311485357</c:v>
                </c:pt>
                <c:pt idx="46">
                  <c:v>1.3161022116188561</c:v>
                </c:pt>
                <c:pt idx="47">
                  <c:v>1.378315227573186</c:v>
                </c:pt>
                <c:pt idx="48">
                  <c:v>1.442047896654747</c:v>
                </c:pt>
                <c:pt idx="49">
                  <c:v>1.5073007280630228</c:v>
                </c:pt>
                <c:pt idx="50">
                  <c:v>1.5740741263478035</c:v>
                </c:pt>
                <c:pt idx="51">
                  <c:v>1.6423688415685693</c:v>
                </c:pt>
                <c:pt idx="52">
                  <c:v>1.7121864232826374</c:v>
                </c:pt>
                <c:pt idx="53">
                  <c:v>1.7835287824188479</c:v>
                </c:pt>
                <c:pt idx="54">
                  <c:v>1.8563977487748056</c:v>
                </c:pt>
                <c:pt idx="55">
                  <c:v>1.9307950735265267</c:v>
                </c:pt>
                <c:pt idx="56">
                  <c:v>2.0067224316036958</c:v>
                </c:pt>
                <c:pt idx="57">
                  <c:v>2.0841814239401626</c:v>
                </c:pt>
                <c:pt idx="58">
                  <c:v>2.1631735796084643</c:v>
                </c:pt>
                <c:pt idx="59">
                  <c:v>2.2437003578463917</c:v>
                </c:pt>
                <c:pt idx="60">
                  <c:v>2.3257631499829303</c:v>
                </c:pt>
                <c:pt idx="61">
                  <c:v>2.4093632812703012</c:v>
                </c:pt>
                <c:pt idx="62">
                  <c:v>2.4945020126282627</c:v>
                </c:pt>
                <c:pt idx="63">
                  <c:v>2.5811805423063396</c:v>
                </c:pt>
                <c:pt idx="64">
                  <c:v>2.6694000074691968</c:v>
                </c:pt>
                <c:pt idx="65">
                  <c:v>2.7591614857099533</c:v>
                </c:pt>
                <c:pt idx="66">
                  <c:v>2.8504659964958816</c:v>
                </c:pt>
                <c:pt idx="67">
                  <c:v>2.943314502550578</c:v>
                </c:pt>
                <c:pt idx="68">
                  <c:v>3.0377079111764012</c:v>
                </c:pt>
                <c:pt idx="69">
                  <c:v>3.1336470755206869</c:v>
                </c:pt>
                <c:pt idx="70">
                  <c:v>3.2311327957889922</c:v>
                </c:pt>
                <c:pt idx="71">
                  <c:v>3.3301658204083964</c:v>
                </c:pt>
                <c:pt idx="72">
                  <c:v>3.4307468471436642</c:v>
                </c:pt>
                <c:pt idx="73">
                  <c:v>3.5328765241688873</c:v>
                </c:pt>
                <c:pt idx="74">
                  <c:v>3.6365554510970384</c:v>
                </c:pt>
                <c:pt idx="75">
                  <c:v>3.741784179969708</c:v>
                </c:pt>
                <c:pt idx="76">
                  <c:v>3.8485632162091452</c:v>
                </c:pt>
                <c:pt idx="77">
                  <c:v>3.9568930195345793</c:v>
                </c:pt>
                <c:pt idx="78">
                  <c:v>4.0667740048446737</c:v>
                </c:pt>
                <c:pt idx="79">
                  <c:v>4.1782065430678497</c:v>
                </c:pt>
                <c:pt idx="80">
                  <c:v>4.2911909619820925</c:v>
                </c:pt>
                <c:pt idx="81">
                  <c:v>4.4057275470057782</c:v>
                </c:pt>
                <c:pt idx="82">
                  <c:v>4.5218165419609289</c:v>
                </c:pt>
                <c:pt idx="83">
                  <c:v>4.6394581498102569</c:v>
                </c:pt>
                <c:pt idx="84">
                  <c:v>4.7586525333692462</c:v>
                </c:pt>
                <c:pt idx="85">
                  <c:v>4.8793998159944589</c:v>
                </c:pt>
                <c:pt idx="86">
                  <c:v>5.0017000822491893</c:v>
                </c:pt>
                <c:pt idx="87">
                  <c:v>5.125553378547508</c:v>
                </c:pt>
                <c:pt idx="88">
                  <c:v>5.2509597137776947</c:v>
                </c:pt>
                <c:pt idx="89">
                  <c:v>5.3779190599059863</c:v>
                </c:pt>
                <c:pt idx="90">
                  <c:v>5.5064313525615365</c:v>
                </c:pt>
                <c:pt idx="91">
                  <c:v>5.6364964916034062</c:v>
                </c:pt>
                <c:pt idx="92">
                  <c:v>5.7681143416703815</c:v>
                </c:pt>
                <c:pt idx="93">
                  <c:v>5.9012847327143616</c:v>
                </c:pt>
                <c:pt idx="94">
                  <c:v>6.0360074605180252</c:v>
                </c:pt>
                <c:pt idx="95">
                  <c:v>6.172282287197441</c:v>
                </c:pt>
                <c:pt idx="96">
                  <c:v>6.3101089416902543</c:v>
                </c:pt>
                <c:pt idx="97">
                  <c:v>6.4494871202300539</c:v>
                </c:pt>
                <c:pt idx="98">
                  <c:v>6.590416486807487</c:v>
                </c:pt>
                <c:pt idx="99">
                  <c:v>6.7328966736186615</c:v>
                </c:pt>
                <c:pt idx="100">
                  <c:v>6.8769272815013487</c:v>
                </c:pt>
                <c:pt idx="101">
                  <c:v>7.0225076554372281</c:v>
                </c:pt>
                <c:pt idx="102">
                  <c:v>7.1696366589054188</c:v>
                </c:pt>
                <c:pt idx="103">
                  <c:v>7.3183128977181013</c:v>
                </c:pt>
                <c:pt idx="104">
                  <c:v>7.4685349450085319</c:v>
                </c:pt>
                <c:pt idx="105">
                  <c:v>7.6203013416631071</c:v>
                </c:pt>
                <c:pt idx="106">
                  <c:v>7.7736105967426132</c:v>
                </c:pt>
                <c:pt idx="107">
                  <c:v>7.9284611878930713</c:v>
                </c:pt>
                <c:pt idx="108">
                  <c:v>8.0848515617465715</c:v>
                </c:pt>
                <c:pt idx="109">
                  <c:v>8.242780134312488</c:v>
                </c:pt>
                <c:pt idx="110">
                  <c:v>8.4022452913594172</c:v>
                </c:pt>
                <c:pt idx="111">
                  <c:v>8.5632453887881983</c:v>
                </c:pt>
                <c:pt idx="112">
                  <c:v>8.7257787529963426</c:v>
                </c:pt>
                <c:pt idx="113">
                  <c:v>8.8898436812341703</c:v>
                </c:pt>
                <c:pt idx="114">
                  <c:v>9.0554384419529708</c:v>
                </c:pt>
                <c:pt idx="115">
                  <c:v>9.222561275145468</c:v>
                </c:pt>
                <c:pt idx="116">
                  <c:v>9.3912103926788557</c:v>
                </c:pt>
                <c:pt idx="117">
                  <c:v>9.56138397862067</c:v>
                </c:pt>
                <c:pt idx="118">
                  <c:v>9.7330801895577519</c:v>
                </c:pt>
                <c:pt idx="119">
                  <c:v>9.906297154908529</c:v>
                </c:pt>
                <c:pt idx="120">
                  <c:v>10.081032977228853</c:v>
                </c:pt>
                <c:pt idx="121">
                  <c:v>10.25728573251161</c:v>
                </c:pt>
                <c:pt idx="122">
                  <c:v>10.435053470480307</c:v>
                </c:pt>
                <c:pt idx="123">
                  <c:v>10.614334214876846</c:v>
                </c:pt>
                <c:pt idx="124">
                  <c:v>10.795125963743665</c:v>
                </c:pt>
                <c:pt idx="125">
                  <c:v>10.977426689700444</c:v>
                </c:pt>
                <c:pt idx="126">
                  <c:v>11.161234340215545</c:v>
                </c:pt>
                <c:pt idx="127">
                  <c:v>11.346546837872349</c:v>
                </c:pt>
                <c:pt idx="128">
                  <c:v>11.533362080630674</c:v>
                </c:pt>
                <c:pt idx="129">
                  <c:v>11.721677942083401</c:v>
                </c:pt>
                <c:pt idx="130">
                  <c:v>11.911492271708493</c:v>
                </c:pt>
                <c:pt idx="131">
                  <c:v>12.102802895116509</c:v>
                </c:pt>
                <c:pt idx="132">
                  <c:v>12.295607614293797</c:v>
                </c:pt>
                <c:pt idx="133">
                  <c:v>12.489904207841459</c:v>
                </c:pt>
                <c:pt idx="134">
                  <c:v>12.685690431210244</c:v>
                </c:pt>
                <c:pt idx="135">
                  <c:v>12.88296401693148</c:v>
                </c:pt>
                <c:pt idx="136">
                  <c:v>13.081722674844158</c:v>
                </c:pt>
                <c:pt idx="137">
                  <c:v>13.281964092318304</c:v>
                </c:pt>
                <c:pt idx="138">
                  <c:v>13.48368593447471</c:v>
                </c:pt>
                <c:pt idx="139">
                  <c:v>13.68688584440118</c:v>
                </c:pt>
                <c:pt idx="140">
                  <c:v>13.891561443365344</c:v>
                </c:pt>
                <c:pt idx="141">
                  <c:v>14.097710331024171</c:v>
                </c:pt>
                <c:pt idx="142">
                  <c:v>14.305330085630263</c:v>
                </c:pt>
                <c:pt idx="143">
                  <c:v>14.514418264235015</c:v>
                </c:pt>
                <c:pt idx="144">
                  <c:v>14.724972402888742</c:v>
                </c:pt>
                <c:pt idx="145">
                  <c:v>14.93699001683785</c:v>
                </c:pt>
                <c:pt idx="146">
                  <c:v>15.15046860071913</c:v>
                </c:pt>
                <c:pt idx="147">
                  <c:v>15.365405628751256</c:v>
                </c:pt>
                <c:pt idx="148">
                  <c:v>15.581798554923571</c:v>
                </c:pt>
                <c:pt idx="149">
                  <c:v>15.799644813182214</c:v>
                </c:pt>
                <c:pt idx="150">
                  <c:v>16.018941817613687</c:v>
                </c:pt>
                <c:pt idx="151">
                  <c:v>16.239687043291873</c:v>
                </c:pt>
                <c:pt idx="152">
                  <c:v>16.461878107406228</c:v>
                </c:pt>
                <c:pt idx="153">
                  <c:v>16.68551268913042</c:v>
                </c:pt>
                <c:pt idx="154">
                  <c:v>16.910588449199778</c:v>
                </c:pt>
                <c:pt idx="155">
                  <c:v>17.137103030072481</c:v>
                </c:pt>
                <c:pt idx="156">
                  <c:v>17.365054056088677</c:v>
                </c:pt>
                <c:pt idx="157">
                  <c:v>17.594439133627603</c:v>
                </c:pt>
                <c:pt idx="158">
                  <c:v>17.825255851262732</c:v>
                </c:pt>
                <c:pt idx="159">
                  <c:v>18.057501779915018</c:v>
                </c:pt>
                <c:pt idx="160">
                  <c:v>18.291174473004272</c:v>
                </c:pt>
                <c:pt idx="161">
                  <c:v>18.526271466598711</c:v>
                </c:pt>
                <c:pt idx="162">
                  <c:v>18.762790279562743</c:v>
                </c:pt>
                <c:pt idx="163">
                  <c:v>19.000728413703001</c:v>
                </c:pt>
                <c:pt idx="164">
                  <c:v>19.240083353912706</c:v>
                </c:pt>
                <c:pt idx="165">
                  <c:v>19.480852568314351</c:v>
                </c:pt>
                <c:pt idx="166">
                  <c:v>19.723033508400796</c:v>
                </c:pt>
                <c:pt idx="167">
                  <c:v>19.966623609174771</c:v>
                </c:pt>
                <c:pt idx="168">
                  <c:v>20.211620289286838</c:v>
                </c:pt>
                <c:pt idx="169">
                  <c:v>20.45802095117185</c:v>
                </c:pt>
                <c:pt idx="170">
                  <c:v>20.705822981183935</c:v>
                </c:pt>
                <c:pt idx="171">
                  <c:v>20.955023749730049</c:v>
                </c:pt>
                <c:pt idx="172">
                  <c:v>21.205620611402111</c:v>
                </c:pt>
                <c:pt idx="173">
                  <c:v>21.457610905107764</c:v>
                </c:pt>
                <c:pt idx="174">
                  <c:v>21.710991954199798</c:v>
                </c:pt>
                <c:pt idx="175">
                  <c:v>21.965761066604248</c:v>
                </c:pt>
                <c:pt idx="176">
                  <c:v>22.221915534947197</c:v>
                </c:pt>
                <c:pt idx="177">
                  <c:v>22.479452636680332</c:v>
                </c:pt>
                <c:pt idx="178">
                  <c:v>22.738369634205245</c:v>
                </c:pt>
                <c:pt idx="179">
                  <c:v>22.998663774996551</c:v>
                </c:pt>
                <c:pt idx="180">
                  <c:v>23.260332291723792</c:v>
                </c:pt>
                <c:pt idx="181">
                  <c:v>23.5233724023722</c:v>
                </c:pt>
                <c:pt idx="182">
                  <c:v>23.787781310362313</c:v>
                </c:pt>
                <c:pt idx="183">
                  <c:v>24.053556204668489</c:v>
                </c:pt>
                <c:pt idx="184">
                  <c:v>24.320694259936307</c:v>
                </c:pt>
                <c:pt idx="185">
                  <c:v>24.58919263659892</c:v>
                </c:pt>
                <c:pt idx="186">
                  <c:v>24.859048480992346</c:v>
                </c:pt>
                <c:pt idx="187">
                  <c:v>25.130258925469725</c:v>
                </c:pt>
                <c:pt idx="188">
                  <c:v>25.402821088514578</c:v>
                </c:pt>
                <c:pt idx="189">
                  <c:v>25.676732074853067</c:v>
                </c:pt>
                <c:pt idx="190">
                  <c:v>25.951988975565289</c:v>
                </c:pt>
                <c:pt idx="191">
                  <c:v>26.228588868195605</c:v>
                </c:pt>
                <c:pt idx="192">
                  <c:v>26.506528816862048</c:v>
                </c:pt>
                <c:pt idx="193">
                  <c:v>26.785805872364794</c:v>
                </c:pt>
                <c:pt idx="194">
                  <c:v>27.066417072293746</c:v>
                </c:pt>
                <c:pt idx="195">
                  <c:v>27.348359441135223</c:v>
                </c:pt>
                <c:pt idx="196">
                  <c:v>27.631629990377771</c:v>
                </c:pt>
                <c:pt idx="197">
                  <c:v>27.916225718617127</c:v>
                </c:pt>
                <c:pt idx="198">
                  <c:v>28.20214361166035</c:v>
                </c:pt>
                <c:pt idx="199">
                  <c:v>28.489380642629101</c:v>
                </c:pt>
                <c:pt idx="200">
                  <c:v>28.777933772062124</c:v>
                </c:pt>
                <c:pt idx="201">
                  <c:v>29.067799948016933</c:v>
                </c:pt>
                <c:pt idx="202">
                  <c:v>29.358976106170704</c:v>
                </c:pt>
                <c:pt idx="203">
                  <c:v>29.651459169920386</c:v>
                </c:pt>
                <c:pt idx="204">
                  <c:v>29.945246050482073</c:v>
                </c:pt>
                <c:pt idx="205">
                  <c:v>30.240333646989601</c:v>
                </c:pt>
                <c:pt idx="206">
                  <c:v>30.536718846592432</c:v>
                </c:pt>
                <c:pt idx="207">
                  <c:v>30.834398524552789</c:v>
                </c:pt>
                <c:pt idx="208">
                  <c:v>31.133369544342095</c:v>
                </c:pt>
                <c:pt idx="209">
                  <c:v>31.433628757736695</c:v>
                </c:pt>
                <c:pt idx="210">
                  <c:v>31.735173004912898</c:v>
                </c:pt>
                <c:pt idx="211">
                  <c:v>32.037999114541321</c:v>
                </c:pt>
                <c:pt idx="212">
                  <c:v>32.34210390388057</c:v>
                </c:pt>
                <c:pt idx="213">
                  <c:v>32.647484178870265</c:v>
                </c:pt>
                <c:pt idx="214">
                  <c:v>32.954136734223376</c:v>
                </c:pt>
                <c:pt idx="215">
                  <c:v>33.262058353517965</c:v>
                </c:pt>
                <c:pt idx="216">
                  <c:v>33.57124580928825</c:v>
                </c:pt>
                <c:pt idx="217">
                  <c:v>33.881695863115077</c:v>
                </c:pt>
                <c:pt idx="218">
                  <c:v>34.193405265715739</c:v>
                </c:pt>
                <c:pt idx="219">
                  <c:v>34.506370757033203</c:v>
                </c:pt>
                <c:pt idx="220">
                  <c:v>34.820589066324743</c:v>
                </c:pt>
                <c:pt idx="221">
                  <c:v>35.136056912249963</c:v>
                </c:pt>
                <c:pt idx="222">
                  <c:v>35.452771002958237</c:v>
                </c:pt>
                <c:pt idx="223">
                  <c:v>35.770728036175576</c:v>
                </c:pt>
                <c:pt idx="224">
                  <c:v>36.089924699290926</c:v>
                </c:pt>
                <c:pt idx="225">
                  <c:v>36.410357669441879</c:v>
                </c:pt>
                <c:pt idx="226">
                  <c:v>36.732023613599857</c:v>
                </c:pt>
                <c:pt idx="227">
                  <c:v>37.054919188654715</c:v>
                </c:pt>
                <c:pt idx="228">
                  <c:v>37.379041041498823</c:v>
                </c:pt>
                <c:pt idx="229">
                  <c:v>37.70438580911059</c:v>
                </c:pt>
                <c:pt idx="230">
                  <c:v>38.030950118637492</c:v>
                </c:pt>
                <c:pt idx="231">
                  <c:v>38.358730587478505</c:v>
                </c:pt>
                <c:pt idx="232">
                  <c:v>38.687723823366099</c:v>
                </c:pt>
                <c:pt idx="233">
                  <c:v>39.017926424447651</c:v>
                </c:pt>
                <c:pt idx="234">
                  <c:v>39.349334979366404</c:v>
                </c:pt>
                <c:pt idx="235">
                  <c:v>39.681946067341862</c:v>
                </c:pt>
                <c:pt idx="236">
                  <c:v>40.015756258249738</c:v>
                </c:pt>
                <c:pt idx="237">
                  <c:v>40.350762112701389</c:v>
                </c:pt>
                <c:pt idx="238">
                  <c:v>40.686960182122768</c:v>
                </c:pt>
                <c:pt idx="239">
                  <c:v>41.024347008832869</c:v>
                </c:pt>
                <c:pt idx="240">
                  <c:v>41.362919126121731</c:v>
                </c:pt>
                <c:pt idx="241">
                  <c:v>41.702673058327953</c:v>
                </c:pt>
                <c:pt idx="242">
                  <c:v>42.043605320915717</c:v>
                </c:pt>
                <c:pt idx="243">
                  <c:v>42.385712420551386</c:v>
                </c:pt>
                <c:pt idx="244">
                  <c:v>42.728990855179603</c:v>
                </c:pt>
                <c:pt idx="245">
                  <c:v>43.073437114098965</c:v>
                </c:pt>
                <c:pt idx="246">
                  <c:v>43.419047678037231</c:v>
                </c:pt>
                <c:pt idx="247">
                  <c:v>43.765819019226079</c:v>
                </c:pt>
                <c:pt idx="248">
                  <c:v>44.113747601475417</c:v>
                </c:pt>
                <c:pt idx="249">
                  <c:v>44.462829880247263</c:v>
                </c:pt>
                <c:pt idx="250">
                  <c:v>44.813062302729179</c:v>
                </c:pt>
                <c:pt idx="251">
                  <c:v>45.164440934654117</c:v>
                </c:pt>
                <c:pt idx="252">
                  <c:v>45.51696108637254</c:v>
                </c:pt>
                <c:pt idx="253">
                  <c:v>45.87061768536779</c:v>
                </c:pt>
                <c:pt idx="254">
                  <c:v>46.225405649532618</c:v>
                </c:pt>
                <c:pt idx="255">
                  <c:v>46.58131988726899</c:v>
                </c:pt>
                <c:pt idx="256">
                  <c:v>46.938355297587208</c:v>
                </c:pt>
                <c:pt idx="257">
                  <c:v>47.296506770204388</c:v>
                </c:pt>
                <c:pt idx="258">
                  <c:v>47.655769185642249</c:v>
                </c:pt>
                <c:pt idx="259">
                  <c:v>48.016137415324259</c:v>
                </c:pt>
                <c:pt idx="260">
                  <c:v>48.37760632167209</c:v>
                </c:pt>
                <c:pt idx="261">
                  <c:v>48.740170758201465</c:v>
                </c:pt>
                <c:pt idx="262">
                  <c:v>49.103825569617342</c:v>
                </c:pt>
                <c:pt idx="263">
                  <c:v>49.46856559190843</c:v>
                </c:pt>
                <c:pt idx="264">
                  <c:v>49.834385652441092</c:v>
                </c:pt>
                <c:pt idx="265">
                  <c:v>50.201280570052603</c:v>
                </c:pt>
                <c:pt idx="266">
                  <c:v>50.569245155143776</c:v>
                </c:pt>
                <c:pt idx="267">
                  <c:v>50.938274209770967</c:v>
                </c:pt>
                <c:pt idx="268">
                  <c:v>51.30836252773743</c:v>
                </c:pt>
                <c:pt idx="269">
                  <c:v>51.679504894684094</c:v>
                </c:pt>
                <c:pt idx="270">
                  <c:v>52.051696088179675</c:v>
                </c:pt>
                <c:pt idx="271">
                  <c:v>52.424930877810205</c:v>
                </c:pt>
                <c:pt idx="272">
                  <c:v>52.79920402526794</c:v>
                </c:pt>
                <c:pt idx="273">
                  <c:v>53.174510284439663</c:v>
                </c:pt>
                <c:pt idx="274">
                  <c:v>53.550844401494373</c:v>
                </c:pt>
                <c:pt idx="275">
                  <c:v>53.928201114970392</c:v>
                </c:pt>
                <c:pt idx="276">
                  <c:v>54.306575155861843</c:v>
                </c:pt>
                <c:pt idx="277">
                  <c:v>54.685961247704569</c:v>
                </c:pt>
                <c:pt idx="278">
                  <c:v>55.066354106661421</c:v>
                </c:pt>
                <c:pt idx="279">
                  <c:v>55.44774844160699</c:v>
                </c:pt>
                <c:pt idx="280">
                  <c:v>55.830138954211741</c:v>
                </c:pt>
                <c:pt idx="281">
                  <c:v>56.213520339025536</c:v>
                </c:pt>
                <c:pt idx="282">
                  <c:v>56.597887283560624</c:v>
                </c:pt>
                <c:pt idx="283">
                  <c:v>56.983234468374008</c:v>
                </c:pt>
                <c:pt idx="284">
                  <c:v>57.369556567149267</c:v>
                </c:pt>
                <c:pt idx="285">
                  <c:v>57.756848246777771</c:v>
                </c:pt>
                <c:pt idx="286">
                  <c:v>58.145104167439357</c:v>
                </c:pt>
                <c:pt idx="287">
                  <c:v>58.534318982682414</c:v>
                </c:pt>
                <c:pt idx="288">
                  <c:v>58.924487339503408</c:v>
                </c:pt>
                <c:pt idx="289">
                  <c:v>59.315603878425847</c:v>
                </c:pt>
                <c:pt idx="290">
                  <c:v>59.707663233578678</c:v>
                </c:pt>
                <c:pt idx="291">
                  <c:v>60.100660032774108</c:v>
                </c:pt>
                <c:pt idx="292">
                  <c:v>60.494588897584904</c:v>
                </c:pt>
                <c:pt idx="293">
                  <c:v>60.889444443421098</c:v>
                </c:pt>
                <c:pt idx="294">
                  <c:v>61.285221279606155</c:v>
                </c:pt>
                <c:pt idx="295">
                  <c:v>61.681914009452598</c:v>
                </c:pt>
                <c:pt idx="296">
                  <c:v>62.079517230337061</c:v>
                </c:pt>
                <c:pt idx="297">
                  <c:v>62.478025533774819</c:v>
                </c:pt>
                <c:pt idx="298">
                  <c:v>62.877429301765794</c:v>
                </c:pt>
                <c:pt idx="299">
                  <c:v>63.277710496898756</c:v>
                </c:pt>
                <c:pt idx="300">
                  <c:v>63.67884686045079</c:v>
                </c:pt>
                <c:pt idx="301">
                  <c:v>64.080816116947545</c:v>
                </c:pt>
                <c:pt idx="302">
                  <c:v>64.483595974671772</c:v>
                </c:pt>
                <c:pt idx="303">
                  <c:v>64.887164126164947</c:v>
                </c:pt>
                <c:pt idx="304">
                  <c:v>65.291498248722021</c:v>
                </c:pt>
                <c:pt idx="305">
                  <c:v>65.696576004879205</c:v>
                </c:pt>
                <c:pt idx="306">
                  <c:v>66.10237504289492</c:v>
                </c:pt>
                <c:pt idx="307">
                  <c:v>66.508872997223818</c:v>
                </c:pt>
                <c:pt idx="308">
                  <c:v>66.916047488983978</c:v>
                </c:pt>
                <c:pt idx="309">
                  <c:v>67.32387612641719</c:v>
                </c:pt>
                <c:pt idx="310">
                  <c:v>67.732336505342431</c:v>
                </c:pt>
                <c:pt idx="311">
                  <c:v>68.141406209602437</c:v>
                </c:pt>
                <c:pt idx="312">
                  <c:v>68.551062811503499</c:v>
                </c:pt>
                <c:pt idx="313">
                  <c:v>68.961283872248345</c:v>
                </c:pt>
                <c:pt idx="314">
                  <c:v>69.37204694236226</c:v>
                </c:pt>
                <c:pt idx="315">
                  <c:v>69.783329562112343</c:v>
                </c:pt>
                <c:pt idx="316">
                  <c:v>70.195109261919953</c:v>
                </c:pt>
                <c:pt idx="317">
                  <c:v>70.607363562766324</c:v>
                </c:pt>
                <c:pt idx="318">
                  <c:v>71.020069976591415</c:v>
                </c:pt>
                <c:pt idx="319">
                  <c:v>71.433206006685865</c:v>
                </c:pt>
                <c:pt idx="320">
                  <c:v>71.846749148076213</c:v>
                </c:pt>
                <c:pt idx="321">
                  <c:v>72.260678579850122</c:v>
                </c:pt>
                <c:pt idx="322">
                  <c:v>72.674976859116285</c:v>
                </c:pt>
                <c:pt idx="323">
                  <c:v>73.089628230401004</c:v>
                </c:pt>
                <c:pt idx="324">
                  <c:v>73.50461693331026</c:v>
                </c:pt>
                <c:pt idx="325">
                  <c:v>73.919927202710255</c:v>
                </c:pt>
                <c:pt idx="326">
                  <c:v>74.335543268904559</c:v>
                </c:pt>
                <c:pt idx="327">
                  <c:v>74.751449357807971</c:v>
                </c:pt>
                <c:pt idx="328">
                  <c:v>75.167629691117</c:v>
                </c:pt>
                <c:pt idx="329">
                  <c:v>75.58406848647698</c:v>
                </c:pt>
                <c:pt idx="330">
                  <c:v>76.000749957645851</c:v>
                </c:pt>
                <c:pt idx="331">
                  <c:v>76.417658314654631</c:v>
                </c:pt>
                <c:pt idx="332">
                  <c:v>76.834777763964496</c:v>
                </c:pt>
                <c:pt idx="333">
                  <c:v>77.252092508620535</c:v>
                </c:pt>
                <c:pt idx="334">
                  <c:v>77.669586748402182</c:v>
                </c:pt>
                <c:pt idx="335">
                  <c:v>78.087244679970297</c:v>
                </c:pt>
                <c:pt idx="336">
                  <c:v>78.505050497010942</c:v>
                </c:pt>
                <c:pt idx="337">
                  <c:v>78.922988390375721</c:v>
                </c:pt>
                <c:pt idx="338">
                  <c:v>79.341042548218894</c:v>
                </c:pt>
                <c:pt idx="339">
                  <c:v>79.759197156131137</c:v>
                </c:pt>
                <c:pt idx="340">
                  <c:v>80.177436397269872</c:v>
                </c:pt>
                <c:pt idx="341">
                  <c:v>80.595744452486386</c:v>
                </c:pt>
                <c:pt idx="342">
                  <c:v>81.014105500449517</c:v>
                </c:pt>
                <c:pt idx="343">
                  <c:v>81.432503717766082</c:v>
                </c:pt>
                <c:pt idx="344">
                  <c:v>81.85092327909787</c:v>
                </c:pt>
                <c:pt idx="345">
                  <c:v>82.269348357275405</c:v>
                </c:pt>
                <c:pt idx="346">
                  <c:v>82.68776312340826</c:v>
                </c:pt>
                <c:pt idx="347">
                  <c:v>83.106151746992126</c:v>
                </c:pt>
                <c:pt idx="348">
                  <c:v>83.524498581101327</c:v>
                </c:pt>
                <c:pt idx="349">
                  <c:v>83.942788347693977</c:v>
                </c:pt>
                <c:pt idx="350">
                  <c:v>84.361005952635153</c:v>
                </c:pt>
                <c:pt idx="351">
                  <c:v>84.779136300595141</c:v>
                </c:pt>
                <c:pt idx="352">
                  <c:v>85.197164295128772</c:v>
                </c:pt>
                <c:pt idx="353">
                  <c:v>85.615074838751738</c:v>
                </c:pt>
                <c:pt idx="354">
                  <c:v>86.032852833013806</c:v>
                </c:pt>
                <c:pt idx="355">
                  <c:v>86.45048317856903</c:v>
                </c:pt>
                <c:pt idx="356">
                  <c:v>86.867950775242875</c:v>
                </c:pt>
                <c:pt idx="357">
                  <c:v>87.285240522096288</c:v>
                </c:pt>
                <c:pt idx="358">
                  <c:v>87.702337317486695</c:v>
                </c:pt>
                <c:pt idx="359">
                  <c:v>88.119226059125964</c:v>
                </c:pt>
                <c:pt idx="360">
                  <c:v>88.535895518612804</c:v>
                </c:pt>
                <c:pt idx="361">
                  <c:v>88.952342217970994</c:v>
                </c:pt>
                <c:pt idx="362">
                  <c:v>89.36856655499254</c:v>
                </c:pt>
                <c:pt idx="363">
                  <c:v>89.784568926548374</c:v>
                </c:pt>
                <c:pt idx="364">
                  <c:v>90.200349728591334</c:v>
                </c:pt>
                <c:pt idx="365">
                  <c:v>90.615909356159179</c:v>
                </c:pt>
                <c:pt idx="366">
                  <c:v>91.031248203377515</c:v>
                </c:pt>
                <c:pt idx="367">
                  <c:v>91.446366663462783</c:v>
                </c:pt>
                <c:pt idx="368">
                  <c:v>91.861265128725208</c:v>
                </c:pt>
                <c:pt idx="369">
                  <c:v>92.275943990571733</c:v>
                </c:pt>
                <c:pt idx="370">
                  <c:v>92.690403639508929</c:v>
                </c:pt>
                <c:pt idx="371">
                  <c:v>93.104644465145924</c:v>
                </c:pt>
                <c:pt idx="372">
                  <c:v>93.518666856197285</c:v>
                </c:pt>
                <c:pt idx="373">
                  <c:v>93.932471200485949</c:v>
                </c:pt>
                <c:pt idx="374">
                  <c:v>94.346057884946035</c:v>
                </c:pt>
                <c:pt idx="375">
                  <c:v>94.75942729562577</c:v>
                </c:pt>
                <c:pt idx="376">
                  <c:v>95.172579817690291</c:v>
                </c:pt>
                <c:pt idx="377">
                  <c:v>95.585515835424545</c:v>
                </c:pt>
                <c:pt idx="378">
                  <c:v>95.998235732236054</c:v>
                </c:pt>
                <c:pt idx="379">
                  <c:v>96.410739890657794</c:v>
                </c:pt>
                <c:pt idx="380">
                  <c:v>96.823028692350974</c:v>
                </c:pt>
                <c:pt idx="381">
                  <c:v>97.235102518107837</c:v>
                </c:pt>
                <c:pt idx="382">
                  <c:v>97.646961747854448</c:v>
                </c:pt>
                <c:pt idx="383">
                  <c:v>98.058606760653447</c:v>
                </c:pt>
                <c:pt idx="384">
                  <c:v>98.470037934706866</c:v>
                </c:pt>
                <c:pt idx="385">
                  <c:v>98.881255647358827</c:v>
                </c:pt>
                <c:pt idx="386">
                  <c:v>99.292260275098315</c:v>
                </c:pt>
                <c:pt idx="387">
                  <c:v>99.703052193561888</c:v>
                </c:pt>
                <c:pt idx="388">
                  <c:v>100.11363177753641</c:v>
                </c:pt>
                <c:pt idx="389">
                  <c:v>100.52399940096177</c:v>
                </c:pt>
                <c:pt idx="390">
                  <c:v>100.93415543693355</c:v>
                </c:pt>
                <c:pt idx="391">
                  <c:v>101.34410025770575</c:v>
                </c:pt>
                <c:pt idx="392">
                  <c:v>101.75383423469343</c:v>
                </c:pt>
                <c:pt idx="393">
                  <c:v>102.16335773847541</c:v>
                </c:pt>
                <c:pt idx="394">
                  <c:v>102.57267113879689</c:v>
                </c:pt>
                <c:pt idx="395">
                  <c:v>102.98177480457211</c:v>
                </c:pt>
                <c:pt idx="396">
                  <c:v>103.39066910388701</c:v>
                </c:pt>
                <c:pt idx="397">
                  <c:v>103.79935440400179</c:v>
                </c:pt>
                <c:pt idx="398">
                  <c:v>104.20783107135361</c:v>
                </c:pt>
                <c:pt idx="399">
                  <c:v>104.61609947155912</c:v>
                </c:pt>
                <c:pt idx="400">
                  <c:v>105.02415996941711</c:v>
                </c:pt>
                <c:pt idx="401">
                  <c:v>109.09335851844368</c:v>
                </c:pt>
                <c:pt idx="402">
                  <c:v>113.14200193793042</c:v>
                </c:pt>
                <c:pt idx="403">
                  <c:v>117.17044730203112</c:v>
                </c:pt>
                <c:pt idx="404">
                  <c:v>121.17904384443159</c:v>
                </c:pt>
                <c:pt idx="405">
                  <c:v>125.16813320040828</c:v>
                </c:pt>
                <c:pt idx="406">
                  <c:v>129.13804963962389</c:v>
                </c:pt>
                <c:pt idx="407">
                  <c:v>133.08912029008374</c:v>
                </c:pt>
                <c:pt idx="408">
                  <c:v>137.02166535365436</c:v>
                </c:pt>
                <c:pt idx="409">
                  <c:v>140.93599831352404</c:v>
                </c:pt>
                <c:pt idx="410">
                  <c:v>144.83242613396564</c:v>
                </c:pt>
                <c:pt idx="411">
                  <c:v>148.71124945274235</c:v>
                </c:pt>
                <c:pt idx="412">
                  <c:v>152.57276276648031</c:v>
                </c:pt>
                <c:pt idx="413">
                  <c:v>156.41725460931431</c:v>
                </c:pt>
                <c:pt idx="414">
                  <c:v>160.24500772509825</c:v>
                </c:pt>
                <c:pt idx="415">
                  <c:v>164.05629923345583</c:v>
                </c:pt>
                <c:pt idx="416">
                  <c:v>167.85140078993459</c:v>
                </c:pt>
                <c:pt idx="417">
                  <c:v>171.63057874051168</c:v>
                </c:pt>
                <c:pt idx="418">
                  <c:v>175.39409427068875</c:v>
                </c:pt>
                <c:pt idx="419">
                  <c:v>179.14220354940042</c:v>
                </c:pt>
                <c:pt idx="420">
                  <c:v>182.87515786795063</c:v>
                </c:pt>
                <c:pt idx="421">
                  <c:v>186.59320377418021</c:v>
                </c:pt>
                <c:pt idx="422">
                  <c:v>190.29658320205922</c:v>
                </c:pt>
                <c:pt idx="423">
                  <c:v>193.98553359688839</c:v>
                </c:pt>
                <c:pt idx="424">
                  <c:v>197.66028803628484</c:v>
                </c:pt>
                <c:pt idx="425">
                  <c:v>201.32107534711935</c:v>
                </c:pt>
                <c:pt idx="426">
                  <c:v>204.968120218564</c:v>
                </c:pt>
                <c:pt idx="427">
                  <c:v>208.60164331140174</c:v>
                </c:pt>
                <c:pt idx="428">
                  <c:v>212.22186136374245</c:v>
                </c:pt>
                <c:pt idx="429">
                  <c:v>215.82898729328275</c:v>
                </c:pt>
                <c:pt idx="430">
                  <c:v>219.4232302962412</c:v>
                </c:pt>
                <c:pt idx="431">
                  <c:v>223.00479594309354</c:v>
                </c:pt>
                <c:pt idx="432">
                  <c:v>226.57388627122765</c:v>
                </c:pt>
                <c:pt idx="433">
                  <c:v>230.13069987463155</c:v>
                </c:pt>
                <c:pt idx="434">
                  <c:v>233.67543199072344</c:v>
                </c:pt>
                <c:pt idx="435">
                  <c:v>237.20827458442702</c:v>
                </c:pt>
                <c:pt idx="436">
                  <c:v>240.72941642959086</c:v>
                </c:pt>
                <c:pt idx="437">
                  <c:v>244.23904318784622</c:v>
                </c:pt>
                <c:pt idx="438">
                  <c:v>247.73733748499313</c:v>
                </c:pt>
                <c:pt idx="439">
                  <c:v>251.2244789850005</c:v>
                </c:pt>
                <c:pt idx="440">
                  <c:v>254.70064446170224</c:v>
                </c:pt>
                <c:pt idx="441">
                  <c:v>258.16600786826729</c:v>
                </c:pt>
                <c:pt idx="442">
                  <c:v>261.62074040451819</c:v>
                </c:pt>
                <c:pt idx="443">
                  <c:v>265.06501058216924</c:v>
                </c:pt>
                <c:pt idx="444">
                  <c:v>268.4989842880517</c:v>
                </c:pt>
                <c:pt idx="445">
                  <c:v>271.92282484539101</c:v>
                </c:pt>
                <c:pt idx="446">
                  <c:v>275.33669307319695</c:v>
                </c:pt>
                <c:pt idx="447">
                  <c:v>278.74074734382617</c:v>
                </c:pt>
                <c:pt idx="448">
                  <c:v>282.13514363877169</c:v>
                </c:pt>
                <c:pt idx="449">
                  <c:v>285.52003560273363</c:v>
                </c:pt>
                <c:pt idx="450">
                  <c:v>288.89557459602042</c:v>
                </c:pt>
                <c:pt idx="451">
                  <c:v>292.26190974532926</c:v>
                </c:pt>
                <c:pt idx="452">
                  <c:v>295.6191879929508</c:v>
                </c:pt>
                <c:pt idx="453">
                  <c:v>298.96755414444095</c:v>
                </c:pt>
                <c:pt idx="454">
                  <c:v>302.30715091480101</c:v>
                </c:pt>
                <c:pt idx="455">
                  <c:v>305.63811897320403</c:v>
                </c:pt>
                <c:pt idx="456">
                  <c:v>308.96059698630398</c:v>
                </c:pt>
                <c:pt idx="457">
                  <c:v>312.27472166016196</c:v>
                </c:pt>
                <c:pt idx="458">
                  <c:v>315.58062778082086</c:v>
                </c:pt>
                <c:pt idx="459">
                  <c:v>318.87844825355921</c:v>
                </c:pt>
                <c:pt idx="460">
                  <c:v>322.16831414085152</c:v>
                </c:pt>
                <c:pt idx="461">
                  <c:v>325.45035469906105</c:v>
                </c:pt>
                <c:pt idx="462">
                  <c:v>328.72469741388949</c:v>
                </c:pt>
                <c:pt idx="463">
                  <c:v>331.99146803460451</c:v>
                </c:pt>
                <c:pt idx="464">
                  <c:v>335.25079060706616</c:v>
                </c:pt>
                <c:pt idx="465">
                  <c:v>338.50278750556942</c:v>
                </c:pt>
                <c:pt idx="466">
                  <c:v>341.74757946351917</c:v>
                </c:pt>
                <c:pt idx="467">
                  <c:v>344.98528560295188</c:v>
                </c:pt>
                <c:pt idx="468">
                  <c:v>348.21602346291564</c:v>
                </c:pt>
                <c:pt idx="469">
                  <c:v>351.43990902671914</c:v>
                </c:pt>
                <c:pt idx="470">
                  <c:v>354.65705674805741</c:v>
                </c:pt>
                <c:pt idx="471">
                  <c:v>357.86757957602026</c:v>
                </c:pt>
                <c:pt idx="472">
                  <c:v>361.07158897898751</c:v>
                </c:pt>
                <c:pt idx="473">
                  <c:v>364.26919496741272</c:v>
                </c:pt>
                <c:pt idx="474">
                  <c:v>367.46050611549509</c:v>
                </c:pt>
                <c:pt idx="475">
                  <c:v>370.64562958173673</c:v>
                </c:pt>
                <c:pt idx="476">
                  <c:v>373.82467112838054</c:v>
                </c:pt>
                <c:pt idx="477">
                  <c:v>376.99773513972116</c:v>
                </c:pt>
                <c:pt idx="478">
                  <c:v>380.16492463927943</c:v>
                </c:pt>
                <c:pt idx="479">
                  <c:v>383.32634130582795</c:v>
                </c:pt>
                <c:pt idx="480">
                  <c:v>386.48208548825284</c:v>
                </c:pt>
                <c:pt idx="481">
                  <c:v>389.63225621923425</c:v>
                </c:pt>
                <c:pt idx="482">
                  <c:v>392.77695122772496</c:v>
                </c:pt>
                <c:pt idx="483">
                  <c:v>395.91626695020415</c:v>
                </c:pt>
                <c:pt idx="484">
                  <c:v>399.05029854067982</c:v>
                </c:pt>
                <c:pt idx="485">
                  <c:v>402.17913987941074</c:v>
                </c:pt>
                <c:pt idx="486">
                  <c:v>405.30288358031532</c:v>
                </c:pt>
                <c:pt idx="487">
                  <c:v>408.42162099703182</c:v>
                </c:pt>
                <c:pt idx="488">
                  <c:v>411.53544222759069</c:v>
                </c:pt>
                <c:pt idx="489">
                  <c:v>414.64443611765671</c:v>
                </c:pt>
                <c:pt idx="490">
                  <c:v>417.74869026229499</c:v>
                </c:pt>
                <c:pt idx="491">
                  <c:v>420.8482910062113</c:v>
                </c:pt>
                <c:pt idx="492">
                  <c:v>423.94332344241388</c:v>
                </c:pt>
                <c:pt idx="493">
                  <c:v>427.03387140924059</c:v>
                </c:pt>
                <c:pt idx="494">
                  <c:v>430.12001748569111</c:v>
                </c:pt>
                <c:pt idx="495">
                  <c:v>433.20184298500186</c:v>
                </c:pt>
                <c:pt idx="496">
                  <c:v>436.27942794639694</c:v>
                </c:pt>
                <c:pt idx="497">
                  <c:v>439.35285112494643</c:v>
                </c:pt>
                <c:pt idx="498">
                  <c:v>442.42218997946105</c:v>
                </c:pt>
                <c:pt idx="499">
                  <c:v>445.48752065834924</c:v>
                </c:pt>
                <c:pt idx="500">
                  <c:v>448.54891798336308</c:v>
                </c:pt>
                <c:pt idx="501">
                  <c:v>451.6064554311572</c:v>
                </c:pt>
                <c:pt idx="502">
                  <c:v>454.66020511258648</c:v>
                </c:pt>
                <c:pt idx="503">
                  <c:v>457.71023774966977</c:v>
                </c:pt>
                <c:pt idx="504">
                  <c:v>460.75662265014955</c:v>
                </c:pt>
                <c:pt idx="505">
                  <c:v>463.79942767958249</c:v>
                </c:pt>
                <c:pt idx="506">
                  <c:v>466.83871923090294</c:v>
                </c:pt>
                <c:pt idx="507">
                  <c:v>469.87456219140989</c:v>
                </c:pt>
                <c:pt idx="508">
                  <c:v>472.90701990714058</c:v>
                </c:pt>
                <c:pt idx="509">
                  <c:v>475.936154144608</c:v>
                </c:pt>
                <c:pt idx="510">
                  <c:v>478.96202504989873</c:v>
                </c:pt>
                <c:pt idx="511">
                  <c:v>481.98469110514907</c:v>
                </c:pt>
                <c:pt idx="512">
                  <c:v>485.00420908244467</c:v>
                </c:pt>
                <c:pt idx="513">
                  <c:v>488.02063399521938</c:v>
                </c:pt>
                <c:pt idx="514">
                  <c:v>491.03401904726479</c:v>
                </c:pt>
                <c:pt idx="515">
                  <c:v>494.04441557950349</c:v>
                </c:pt>
                <c:pt idx="516">
                  <c:v>497.05187301472375</c:v>
                </c:pt>
                <c:pt idx="517">
                  <c:v>500.0564388005252</c:v>
                </c:pt>
                <c:pt idx="518">
                  <c:v>503.05815835077868</c:v>
                </c:pt>
                <c:pt idx="519">
                  <c:v>506.05707498596308</c:v>
                </c:pt>
                <c:pt idx="520">
                  <c:v>509.05322987280238</c:v>
                </c:pt>
                <c:pt idx="521">
                  <c:v>512.0466619636893</c:v>
                </c:pt>
                <c:pt idx="522">
                  <c:v>515.03740793644306</c:v>
                </c:pt>
                <c:pt idx="523">
                  <c:v>518.02550213500842</c:v>
                </c:pt>
                <c:pt idx="524">
                  <c:v>521.01097651175655</c:v>
                </c:pt>
                <c:pt idx="525">
                  <c:v>523.99386057209563</c:v>
                </c:pt>
                <c:pt idx="526">
                  <c:v>526.97418132213193</c:v>
                </c:pt>
                <c:pt idx="527">
                  <c:v>529.95196322014613</c:v>
                </c:pt>
                <c:pt idx="528">
                  <c:v>532.92722813265254</c:v>
                </c:pt>
                <c:pt idx="529">
                  <c:v>535.89999529579632</c:v>
                </c:pt>
                <c:pt idx="530">
                  <c:v>538.87028128280849</c:v>
                </c:pt>
                <c:pt idx="531">
                  <c:v>541.83809997818457</c:v>
                </c:pt>
                <c:pt idx="532">
                  <c:v>544.80346255917391</c:v>
                </c:pt>
                <c:pt idx="533">
                  <c:v>547.7663774850721</c:v>
                </c:pt>
                <c:pt idx="534">
                  <c:v>550.72685049469453</c:v>
                </c:pt>
                <c:pt idx="535">
                  <c:v>553.6848846122806</c:v>
                </c:pt>
                <c:pt idx="536">
                  <c:v>556.64048016194226</c:v>
                </c:pt>
                <c:pt idx="537">
                  <c:v>559.59363479062733</c:v>
                </c:pt>
                <c:pt idx="538">
                  <c:v>562.54434349942858</c:v>
                </c:pt>
                <c:pt idx="539">
                  <c:v>565.49259868293439</c:v>
                </c:pt>
                <c:pt idx="540">
                  <c:v>568.43839017619291</c:v>
                </c:pt>
                <c:pt idx="541">
                  <c:v>571.38170530875323</c:v>
                </c:pt>
                <c:pt idx="542">
                  <c:v>574.32252896515899</c:v>
                </c:pt>
                <c:pt idx="543">
                  <c:v>577.26084365119698</c:v>
                </c:pt>
                <c:pt idx="544">
                  <c:v>580.19662956515981</c:v>
                </c:pt>
                <c:pt idx="545">
                  <c:v>583.12986467335145</c:v>
                </c:pt>
                <c:pt idx="546">
                  <c:v>586.06052478906065</c:v>
                </c:pt>
                <c:pt idx="547">
                  <c:v>588.98858365423894</c:v>
                </c:pt>
                <c:pt idx="548">
                  <c:v>591.91401302314705</c:v>
                </c:pt>
                <c:pt idx="549">
                  <c:v>594.83678274727583</c:v>
                </c:pt>
                <c:pt idx="550">
                  <c:v>597.75686086089729</c:v>
                </c:pt>
                <c:pt idx="551">
                  <c:v>600.67421366666031</c:v>
                </c:pt>
                <c:pt idx="552">
                  <c:v>603.58880582070833</c:v>
                </c:pt>
                <c:pt idx="553">
                  <c:v>606.50060041685913</c:v>
                </c:pt>
                <c:pt idx="554">
                  <c:v>609.40955906945146</c:v>
                </c:pt>
                <c:pt idx="555">
                  <c:v>612.3156419945268</c:v>
                </c:pt>
                <c:pt idx="556">
                  <c:v>615.21880808907031</c:v>
                </c:pt>
                <c:pt idx="557">
                  <c:v>618.11901500809324</c:v>
                </c:pt>
                <c:pt idx="558">
                  <c:v>621.01621923938694</c:v>
                </c:pt>
                <c:pt idx="559">
                  <c:v>623.91037617582435</c:v>
                </c:pt>
                <c:pt idx="560">
                  <c:v>626.80144018512499</c:v>
                </c:pt>
                <c:pt idx="561">
                  <c:v>629.68936467703281</c:v>
                </c:pt>
                <c:pt idx="562">
                  <c:v>632.57410216788821</c:v>
                </c:pt>
                <c:pt idx="563">
                  <c:v>635.45560434259869</c:v>
                </c:pt>
                <c:pt idx="564">
                  <c:v>638.33382211403523</c:v>
                </c:pt>
                <c:pt idx="565">
                  <c:v>641.20870567989766</c:v>
                </c:pt>
                <c:pt idx="566">
                  <c:v>644.08020457710563</c:v>
                </c:pt>
                <c:pt idx="567">
                  <c:v>646.94826773378486</c:v>
                </c:pt>
                <c:pt idx="568">
                  <c:v>649.81284351892305</c:v>
                </c:pt>
                <c:pt idx="569">
                  <c:v>652.67387978977877</c:v>
                </c:pt>
                <c:pt idx="570">
                  <c:v>655.53132393712917</c:v>
                </c:pt>
                <c:pt idx="571">
                  <c:v>658.38512292844428</c:v>
                </c:pt>
                <c:pt idx="572">
                  <c:v>661.23522334907807</c:v>
                </c:pt>
                <c:pt idx="573">
                  <c:v>664.08157144156553</c:v>
                </c:pt>
                <c:pt idx="574">
                  <c:v>666.92411314311369</c:v>
                </c:pt>
                <c:pt idx="575">
                  <c:v>669.76279412137387</c:v>
                </c:pt>
                <c:pt idx="576">
                  <c:v>672.5975598085796</c:v>
                </c:pt>
                <c:pt idx="577">
                  <c:v>675.42835543413207</c:v>
                </c:pt>
                <c:pt idx="578">
                  <c:v>678.25512605571214</c:v>
                </c:pt>
                <c:pt idx="579">
                  <c:v>681.07781658899489</c:v>
                </c:pt>
                <c:pt idx="580">
                  <c:v>683.89637183603941</c:v>
                </c:pt>
                <c:pt idx="581">
                  <c:v>686.71073651242273</c:v>
                </c:pt>
                <c:pt idx="582">
                  <c:v>689.52085527318434</c:v>
                </c:pt>
                <c:pt idx="583">
                  <c:v>692.32667273764389</c:v>
                </c:pt>
                <c:pt idx="584">
                  <c:v>695.12813351315071</c:v>
                </c:pt>
                <c:pt idx="585">
                  <c:v>697.92518221782245</c:v>
                </c:pt>
                <c:pt idx="586">
                  <c:v>700.71776350232437</c:v>
                </c:pt>
                <c:pt idx="587">
                  <c:v>703.50582207074081</c:v>
                </c:pt>
                <c:pt idx="588">
                  <c:v>706.28930270058481</c:v>
                </c:pt>
                <c:pt idx="589">
                  <c:v>709.06815026199104</c:v>
                </c:pt>
                <c:pt idx="590">
                  <c:v>711.84230973613296</c:v>
                </c:pt>
                <c:pt idx="591">
                  <c:v>714.61172623290463</c:v>
                </c:pt>
                <c:pt idx="592">
                  <c:v>717.37634500790296</c:v>
                </c:pt>
                <c:pt idx="593">
                  <c:v>720.13611147874542</c:v>
                </c:pt>
                <c:pt idx="594">
                  <c:v>722.89097124075624</c:v>
                </c:pt>
                <c:pt idx="595">
                  <c:v>725.64087008205081</c:v>
                </c:pt>
                <c:pt idx="596">
                  <c:v>728.38575399804745</c:v>
                </c:pt>
                <c:pt idx="597">
                  <c:v>731.12556920543341</c:v>
                </c:pt>
                <c:pt idx="598">
                  <c:v>733.86026215561026</c:v>
                </c:pt>
                <c:pt idx="599">
                  <c:v>736.58977954764237</c:v>
                </c:pt>
                <c:pt idx="600">
                  <c:v>739.31406834073061</c:v>
                </c:pt>
                <c:pt idx="601">
                  <c:v>742.03307576623251</c:v>
                </c:pt>
                <c:pt idx="602">
                  <c:v>744.7467493392478</c:v>
                </c:pt>
                <c:pt idx="603">
                  <c:v>747.45503686978827</c:v>
                </c:pt>
                <c:pt idx="604">
                  <c:v>750.1578864735493</c:v>
                </c:pt>
                <c:pt idx="605">
                  <c:v>752.85524658229861</c:v>
                </c:pt>
                <c:pt idx="606">
                  <c:v>755.54706595389769</c:v>
                </c:pt>
                <c:pt idx="607">
                  <c:v>758.23329368197119</c:v>
                </c:pt>
                <c:pt idx="608">
                  <c:v>760.91387920523619</c:v>
                </c:pt>
                <c:pt idx="609">
                  <c:v>763.58877231650479</c:v>
                </c:pt>
                <c:pt idx="610">
                  <c:v>766.25792317137234</c:v>
                </c:pt>
                <c:pt idx="611">
                  <c:v>768.92128229660148</c:v>
                </c:pt>
                <c:pt idx="612">
                  <c:v>771.57880059821343</c:v>
                </c:pt>
                <c:pt idx="613">
                  <c:v>774.23042936929642</c:v>
                </c:pt>
                <c:pt idx="614">
                  <c:v>776.87612029753961</c:v>
                </c:pt>
                <c:pt idx="615">
                  <c:v>779.51582547250291</c:v>
                </c:pt>
                <c:pt idx="616">
                  <c:v>782.14949739262954</c:v>
                </c:pt>
                <c:pt idx="617">
                  <c:v>784.77708897201046</c:v>
                </c:pt>
                <c:pt idx="618">
                  <c:v>787.39855354690758</c:v>
                </c:pt>
                <c:pt idx="619">
                  <c:v>790.01384488204212</c:v>
                </c:pt>
                <c:pt idx="620">
                  <c:v>792.62291717665619</c:v>
                </c:pt>
                <c:pt idx="621">
                  <c:v>795.22572507035272</c:v>
                </c:pt>
                <c:pt idx="622">
                  <c:v>797.82222364872052</c:v>
                </c:pt>
                <c:pt idx="623">
                  <c:v>800.41236844874913</c:v>
                </c:pt>
                <c:pt idx="624">
                  <c:v>802.99611546404037</c:v>
                </c:pt>
                <c:pt idx="625">
                  <c:v>805.57342114982009</c:v>
                </c:pt>
                <c:pt idx="626">
                  <c:v>808.14424242775601</c:v>
                </c:pt>
                <c:pt idx="627">
                  <c:v>810.70853669058613</c:v>
                </c:pt>
                <c:pt idx="628">
                  <c:v>813.2662618065616</c:v>
                </c:pt>
                <c:pt idx="629">
                  <c:v>815.8173761237091</c:v>
                </c:pt>
                <c:pt idx="630">
                  <c:v>818.36183847391567</c:v>
                </c:pt>
                <c:pt idx="631">
                  <c:v>820.89960817684118</c:v>
                </c:pt>
                <c:pt idx="632">
                  <c:v>823.43064504366043</c:v>
                </c:pt>
                <c:pt idx="633">
                  <c:v>825.9549093806404</c:v>
                </c:pt>
                <c:pt idx="634">
                  <c:v>828.47236199255372</c:v>
                </c:pt>
                <c:pt idx="635">
                  <c:v>830.98296418593395</c:v>
                </c:pt>
                <c:pt idx="636">
                  <c:v>833.48667777217361</c:v>
                </c:pt>
                <c:pt idx="637">
                  <c:v>835.98346507046961</c:v>
                </c:pt>
                <c:pt idx="638">
                  <c:v>838.47328891061795</c:v>
                </c:pt>
                <c:pt idx="639">
                  <c:v>840.95611263566093</c:v>
                </c:pt>
                <c:pt idx="640">
                  <c:v>843.43190010438923</c:v>
                </c:pt>
                <c:pt idx="641">
                  <c:v>845.90061569370187</c:v>
                </c:pt>
                <c:pt idx="642">
                  <c:v>848.36222430082603</c:v>
                </c:pt>
                <c:pt idx="643">
                  <c:v>850.81669134539936</c:v>
                </c:pt>
                <c:pt idx="644">
                  <c:v>853.26398277141732</c:v>
                </c:pt>
                <c:pt idx="645">
                  <c:v>855.70406504904759</c:v>
                </c:pt>
                <c:pt idx="646">
                  <c:v>858.1369051763138</c:v>
                </c:pt>
                <c:pt idx="647">
                  <c:v>860.56247068065068</c:v>
                </c:pt>
                <c:pt idx="648">
                  <c:v>862.98072962033314</c:v>
                </c:pt>
                <c:pt idx="649">
                  <c:v>865.39165058578021</c:v>
                </c:pt>
                <c:pt idx="650">
                  <c:v>867.79520270073738</c:v>
                </c:pt>
                <c:pt idx="651">
                  <c:v>870.19135562333838</c:v>
                </c:pt>
                <c:pt idx="652">
                  <c:v>872.58007954704783</c:v>
                </c:pt>
                <c:pt idx="653">
                  <c:v>874.9613452014878</c:v>
                </c:pt>
                <c:pt idx="654">
                  <c:v>877.33512385314941</c:v>
                </c:pt>
                <c:pt idx="655">
                  <c:v>879.70138730599115</c:v>
                </c:pt>
                <c:pt idx="656">
                  <c:v>882.06010790192636</c:v>
                </c:pt>
                <c:pt idx="657">
                  <c:v>884.41125852120069</c:v>
                </c:pt>
                <c:pt idx="658">
                  <c:v>886.75481258266177</c:v>
                </c:pt>
                <c:pt idx="659">
                  <c:v>889.090744043923</c:v>
                </c:pt>
                <c:pt idx="660">
                  <c:v>891.41902740142257</c:v>
                </c:pt>
                <c:pt idx="661">
                  <c:v>893.73963769037982</c:v>
                </c:pt>
                <c:pt idx="662">
                  <c:v>896.05255048464983</c:v>
                </c:pt>
                <c:pt idx="663">
                  <c:v>898.35774189647896</c:v>
                </c:pt>
                <c:pt idx="664">
                  <c:v>900.65518857616178</c:v>
                </c:pt>
                <c:pt idx="665">
                  <c:v>902.94486771160177</c:v>
                </c:pt>
                <c:pt idx="666">
                  <c:v>905.22675702777656</c:v>
                </c:pt>
                <c:pt idx="667">
                  <c:v>907.50083478611032</c:v>
                </c:pt>
                <c:pt idx="668">
                  <c:v>909.76707978375362</c:v>
                </c:pt>
                <c:pt idx="669">
                  <c:v>912.0254713527728</c:v>
                </c:pt>
                <c:pt idx="670">
                  <c:v>914.27598935925073</c:v>
                </c:pt>
                <c:pt idx="671">
                  <c:v>916.51861420229966</c:v>
                </c:pt>
                <c:pt idx="672">
                  <c:v>918.75332681298812</c:v>
                </c:pt>
                <c:pt idx="673">
                  <c:v>920.98010865318327</c:v>
                </c:pt>
                <c:pt idx="674">
                  <c:v>923.19894171430974</c:v>
                </c:pt>
                <c:pt idx="675">
                  <c:v>925.4098085160274</c:v>
                </c:pt>
                <c:pt idx="676">
                  <c:v>927.61269210482783</c:v>
                </c:pt>
                <c:pt idx="677">
                  <c:v>929.80757605255269</c:v>
                </c:pt>
                <c:pt idx="678">
                  <c:v>931.99444445483402</c:v>
                </c:pt>
                <c:pt idx="679">
                  <c:v>934.17328192945899</c:v>
                </c:pt>
                <c:pt idx="680">
                  <c:v>936.34407361465924</c:v>
                </c:pt>
                <c:pt idx="681">
                  <c:v>938.50680516732723</c:v>
                </c:pt>
                <c:pt idx="682">
                  <c:v>940.66146276116092</c:v>
                </c:pt>
                <c:pt idx="683">
                  <c:v>942.80803308473719</c:v>
                </c:pt>
                <c:pt idx="684">
                  <c:v>944.94650333951654</c:v>
                </c:pt>
                <c:pt idx="685">
                  <c:v>947.07686123777944</c:v>
                </c:pt>
                <c:pt idx="686">
                  <c:v>949.19909500049664</c:v>
                </c:pt>
                <c:pt idx="687">
                  <c:v>951.3131933551341</c:v>
                </c:pt>
                <c:pt idx="688">
                  <c:v>953.41914553339393</c:v>
                </c:pt>
                <c:pt idx="689">
                  <c:v>955.51694126889265</c:v>
                </c:pt>
                <c:pt idx="690">
                  <c:v>957.60657079477892</c:v>
                </c:pt>
                <c:pt idx="691">
                  <c:v>959.68802484129048</c:v>
                </c:pt>
                <c:pt idx="692">
                  <c:v>961.76129463325321</c:v>
                </c:pt>
                <c:pt idx="693">
                  <c:v>963.82637188752278</c:v>
                </c:pt>
                <c:pt idx="694">
                  <c:v>965.88324881036988</c:v>
                </c:pt>
                <c:pt idx="695">
                  <c:v>967.93191809481141</c:v>
                </c:pt>
                <c:pt idx="696">
                  <c:v>969.97237291788781</c:v>
                </c:pt>
                <c:pt idx="697">
                  <c:v>972.00460693788852</c:v>
                </c:pt>
                <c:pt idx="698">
                  <c:v>974.02861429152631</c:v>
                </c:pt>
                <c:pt idx="699">
                  <c:v>976.04438959106255</c:v>
                </c:pt>
                <c:pt idx="700">
                  <c:v>978.05192792138359</c:v>
                </c:pt>
                <c:pt idx="701">
                  <c:v>980.05122483703053</c:v>
                </c:pt>
                <c:pt idx="702">
                  <c:v>982.04227635918267</c:v>
                </c:pt>
                <c:pt idx="703">
                  <c:v>984.02507897259704</c:v>
                </c:pt>
                <c:pt idx="704">
                  <c:v>985.99962962250402</c:v>
                </c:pt>
                <c:pt idx="705">
                  <c:v>987.96592571146118</c:v>
                </c:pt>
                <c:pt idx="706">
                  <c:v>989.92396509616572</c:v>
                </c:pt>
                <c:pt idx="707">
                  <c:v>991.87374608422795</c:v>
                </c:pt>
                <c:pt idx="708">
                  <c:v>993.81526743090592</c:v>
                </c:pt>
                <c:pt idx="709">
                  <c:v>995.74852833580223</c:v>
                </c:pt>
                <c:pt idx="710">
                  <c:v>997.67352843952574</c:v>
                </c:pt>
                <c:pt idx="711">
                  <c:v>999.59026782031742</c:v>
                </c:pt>
                <c:pt idx="712">
                  <c:v>1001.498746990643</c:v>
                </c:pt>
                <c:pt idx="713">
                  <c:v>1003.3989668937528</c:v>
                </c:pt>
                <c:pt idx="714">
                  <c:v>1005.29092890021</c:v>
                </c:pt>
                <c:pt idx="715">
                  <c:v>1007.1746348043889</c:v>
                </c:pt>
                <c:pt idx="716">
                  <c:v>1009.0500868209435</c:v>
                </c:pt>
                <c:pt idx="717">
                  <c:v>1009.0500868209435</c:v>
                </c:pt>
                <c:pt idx="718">
                  <c:v>1009.0500868209435</c:v>
                </c:pt>
                <c:pt idx="719">
                  <c:v>1009.0500868209435</c:v>
                </c:pt>
                <c:pt idx="720">
                  <c:v>1009.0500868209435</c:v>
                </c:pt>
                <c:pt idx="721">
                  <c:v>1009.0500868209435</c:v>
                </c:pt>
                <c:pt idx="722">
                  <c:v>1009.0500868209435</c:v>
                </c:pt>
                <c:pt idx="723">
                  <c:v>1009.0500868209435</c:v>
                </c:pt>
                <c:pt idx="724">
                  <c:v>1009.0500868209435</c:v>
                </c:pt>
                <c:pt idx="725">
                  <c:v>1009.0500868209435</c:v>
                </c:pt>
                <c:pt idx="726">
                  <c:v>1009.0500868209435</c:v>
                </c:pt>
                <c:pt idx="727">
                  <c:v>1009.0500868209435</c:v>
                </c:pt>
                <c:pt idx="728">
                  <c:v>1009.0500868209435</c:v>
                </c:pt>
                <c:pt idx="729">
                  <c:v>1009.0500868209435</c:v>
                </c:pt>
                <c:pt idx="730">
                  <c:v>1009.0500868209435</c:v>
                </c:pt>
                <c:pt idx="731">
                  <c:v>1009.0500868209435</c:v>
                </c:pt>
                <c:pt idx="732">
                  <c:v>1009.0500868209435</c:v>
                </c:pt>
                <c:pt idx="733">
                  <c:v>1009.0500868209435</c:v>
                </c:pt>
                <c:pt idx="734">
                  <c:v>1009.0500868209435</c:v>
                </c:pt>
                <c:pt idx="735">
                  <c:v>1009.0500868209435</c:v>
                </c:pt>
                <c:pt idx="736">
                  <c:v>1009.0500868209435</c:v>
                </c:pt>
                <c:pt idx="737">
                  <c:v>1009.0500868209435</c:v>
                </c:pt>
                <c:pt idx="738">
                  <c:v>1009.0500868209435</c:v>
                </c:pt>
                <c:pt idx="739">
                  <c:v>1009.0500868209435</c:v>
                </c:pt>
                <c:pt idx="740">
                  <c:v>1009.0500868209435</c:v>
                </c:pt>
                <c:pt idx="741">
                  <c:v>1009.0500868209435</c:v>
                </c:pt>
                <c:pt idx="742">
                  <c:v>1009.0500868209435</c:v>
                </c:pt>
                <c:pt idx="743">
                  <c:v>1009.0500868209435</c:v>
                </c:pt>
                <c:pt idx="744">
                  <c:v>1009.0500868209435</c:v>
                </c:pt>
                <c:pt idx="745">
                  <c:v>1009.0500868209435</c:v>
                </c:pt>
                <c:pt idx="746">
                  <c:v>1009.0500868209435</c:v>
                </c:pt>
                <c:pt idx="747">
                  <c:v>1009.0500868209435</c:v>
                </c:pt>
                <c:pt idx="748">
                  <c:v>1009.0500868209435</c:v>
                </c:pt>
                <c:pt idx="749">
                  <c:v>1009.0500868209435</c:v>
                </c:pt>
                <c:pt idx="750">
                  <c:v>1009.0500868209435</c:v>
                </c:pt>
                <c:pt idx="751">
                  <c:v>1009.0500868209435</c:v>
                </c:pt>
                <c:pt idx="752">
                  <c:v>1009.0500868209435</c:v>
                </c:pt>
                <c:pt idx="753">
                  <c:v>1009.0500868209435</c:v>
                </c:pt>
                <c:pt idx="754">
                  <c:v>1009.0500868209435</c:v>
                </c:pt>
                <c:pt idx="755">
                  <c:v>1009.0500868209435</c:v>
                </c:pt>
                <c:pt idx="756">
                  <c:v>1009.0500868209435</c:v>
                </c:pt>
                <c:pt idx="757">
                  <c:v>1009.0500868209435</c:v>
                </c:pt>
                <c:pt idx="758">
                  <c:v>1009.0500868209435</c:v>
                </c:pt>
                <c:pt idx="759">
                  <c:v>1009.0500868209435</c:v>
                </c:pt>
                <c:pt idx="760">
                  <c:v>1009.0500868209435</c:v>
                </c:pt>
                <c:pt idx="761">
                  <c:v>1009.0500868209435</c:v>
                </c:pt>
                <c:pt idx="762">
                  <c:v>1009.0500868209435</c:v>
                </c:pt>
                <c:pt idx="763">
                  <c:v>1009.0500868209435</c:v>
                </c:pt>
                <c:pt idx="764">
                  <c:v>1009.0500868209435</c:v>
                </c:pt>
                <c:pt idx="765">
                  <c:v>1009.0500868209435</c:v>
                </c:pt>
                <c:pt idx="766">
                  <c:v>1009.0500868209435</c:v>
                </c:pt>
                <c:pt idx="767">
                  <c:v>1009.0500868209435</c:v>
                </c:pt>
                <c:pt idx="768">
                  <c:v>1009.0500868209435</c:v>
                </c:pt>
                <c:pt idx="769">
                  <c:v>1009.0500868209435</c:v>
                </c:pt>
                <c:pt idx="770">
                  <c:v>1009.0500868209435</c:v>
                </c:pt>
                <c:pt idx="771">
                  <c:v>1009.0500868209435</c:v>
                </c:pt>
                <c:pt idx="772">
                  <c:v>1009.0500868209435</c:v>
                </c:pt>
                <c:pt idx="773">
                  <c:v>1009.0500868209435</c:v>
                </c:pt>
                <c:pt idx="774">
                  <c:v>1009.0500868209435</c:v>
                </c:pt>
                <c:pt idx="775">
                  <c:v>1009.0500868209435</c:v>
                </c:pt>
                <c:pt idx="776">
                  <c:v>1009.0500868209435</c:v>
                </c:pt>
                <c:pt idx="777">
                  <c:v>1009.0500868209435</c:v>
                </c:pt>
                <c:pt idx="778">
                  <c:v>1009.0500868209435</c:v>
                </c:pt>
                <c:pt idx="779">
                  <c:v>1009.0500868209435</c:v>
                </c:pt>
                <c:pt idx="780">
                  <c:v>1009.0500868209435</c:v>
                </c:pt>
                <c:pt idx="781">
                  <c:v>1009.0500868209435</c:v>
                </c:pt>
                <c:pt idx="782">
                  <c:v>1009.0500868209435</c:v>
                </c:pt>
                <c:pt idx="783">
                  <c:v>1009.0500868209435</c:v>
                </c:pt>
                <c:pt idx="784">
                  <c:v>1009.0500868209435</c:v>
                </c:pt>
                <c:pt idx="785">
                  <c:v>1009.0500868209435</c:v>
                </c:pt>
                <c:pt idx="786">
                  <c:v>1009.0500868209435</c:v>
                </c:pt>
                <c:pt idx="787">
                  <c:v>1009.0500868209435</c:v>
                </c:pt>
                <c:pt idx="788">
                  <c:v>1009.0500868209435</c:v>
                </c:pt>
                <c:pt idx="789">
                  <c:v>1009.0500868209435</c:v>
                </c:pt>
                <c:pt idx="790">
                  <c:v>1009.0500868209435</c:v>
                </c:pt>
                <c:pt idx="791">
                  <c:v>1009.0500868209435</c:v>
                </c:pt>
                <c:pt idx="792">
                  <c:v>1009.0500868209435</c:v>
                </c:pt>
                <c:pt idx="793">
                  <c:v>1009.0500868209435</c:v>
                </c:pt>
                <c:pt idx="794">
                  <c:v>1009.0500868209435</c:v>
                </c:pt>
                <c:pt idx="795">
                  <c:v>1009.0500868209435</c:v>
                </c:pt>
                <c:pt idx="796">
                  <c:v>1009.0500868209435</c:v>
                </c:pt>
                <c:pt idx="797">
                  <c:v>1009.0500868209435</c:v>
                </c:pt>
                <c:pt idx="798">
                  <c:v>1009.0500868209435</c:v>
                </c:pt>
                <c:pt idx="799">
                  <c:v>1009.0500868209435</c:v>
                </c:pt>
                <c:pt idx="800">
                  <c:v>1009.0500868209435</c:v>
                </c:pt>
                <c:pt idx="801">
                  <c:v>1009.0500868209435</c:v>
                </c:pt>
                <c:pt idx="802">
                  <c:v>1009.0500868209435</c:v>
                </c:pt>
                <c:pt idx="803">
                  <c:v>1009.0500868209435</c:v>
                </c:pt>
                <c:pt idx="804">
                  <c:v>1009.0500868209435</c:v>
                </c:pt>
                <c:pt idx="805">
                  <c:v>1009.0500868209435</c:v>
                </c:pt>
                <c:pt idx="806">
                  <c:v>1009.0500868209435</c:v>
                </c:pt>
                <c:pt idx="807">
                  <c:v>1009.0500868209435</c:v>
                </c:pt>
                <c:pt idx="808">
                  <c:v>1009.0500868209435</c:v>
                </c:pt>
                <c:pt idx="809">
                  <c:v>1009.0500868209435</c:v>
                </c:pt>
                <c:pt idx="810">
                  <c:v>1009.0500868209435</c:v>
                </c:pt>
                <c:pt idx="811">
                  <c:v>1009.0500868209435</c:v>
                </c:pt>
                <c:pt idx="812">
                  <c:v>1009.0500868209435</c:v>
                </c:pt>
                <c:pt idx="813">
                  <c:v>1009.0500868209435</c:v>
                </c:pt>
                <c:pt idx="814">
                  <c:v>1009.0500868209435</c:v>
                </c:pt>
                <c:pt idx="815">
                  <c:v>1009.0500868209435</c:v>
                </c:pt>
                <c:pt idx="816">
                  <c:v>1009.0500868209435</c:v>
                </c:pt>
                <c:pt idx="817">
                  <c:v>1009.0500868209435</c:v>
                </c:pt>
                <c:pt idx="818">
                  <c:v>1009.0500868209435</c:v>
                </c:pt>
                <c:pt idx="819">
                  <c:v>1009.0500868209435</c:v>
                </c:pt>
                <c:pt idx="820">
                  <c:v>1009.0500868209435</c:v>
                </c:pt>
                <c:pt idx="821">
                  <c:v>1009.0500868209435</c:v>
                </c:pt>
                <c:pt idx="822">
                  <c:v>1009.0500868209435</c:v>
                </c:pt>
                <c:pt idx="823">
                  <c:v>1009.0500868209435</c:v>
                </c:pt>
                <c:pt idx="824">
                  <c:v>1009.0500868209435</c:v>
                </c:pt>
                <c:pt idx="825">
                  <c:v>1009.0500868209435</c:v>
                </c:pt>
                <c:pt idx="826">
                  <c:v>1009.0500868209435</c:v>
                </c:pt>
                <c:pt idx="827">
                  <c:v>1009.0500868209435</c:v>
                </c:pt>
                <c:pt idx="828">
                  <c:v>1009.0500868209435</c:v>
                </c:pt>
                <c:pt idx="829">
                  <c:v>1009.0500868209435</c:v>
                </c:pt>
                <c:pt idx="830">
                  <c:v>1009.0500868209435</c:v>
                </c:pt>
                <c:pt idx="831">
                  <c:v>1009.0500868209435</c:v>
                </c:pt>
                <c:pt idx="832">
                  <c:v>1009.0500868209435</c:v>
                </c:pt>
                <c:pt idx="833">
                  <c:v>1009.0500868209435</c:v>
                </c:pt>
                <c:pt idx="834">
                  <c:v>1009.0500868209435</c:v>
                </c:pt>
                <c:pt idx="835">
                  <c:v>1009.0500868209435</c:v>
                </c:pt>
                <c:pt idx="836">
                  <c:v>1009.0500868209435</c:v>
                </c:pt>
                <c:pt idx="837">
                  <c:v>1009.0500868209435</c:v>
                </c:pt>
                <c:pt idx="838">
                  <c:v>1009.0500868209435</c:v>
                </c:pt>
                <c:pt idx="839">
                  <c:v>1009.0500868209435</c:v>
                </c:pt>
                <c:pt idx="840">
                  <c:v>1009.0500868209435</c:v>
                </c:pt>
                <c:pt idx="841">
                  <c:v>1009.0500868209435</c:v>
                </c:pt>
                <c:pt idx="842">
                  <c:v>1009.0500868209435</c:v>
                </c:pt>
                <c:pt idx="843">
                  <c:v>1009.0500868209435</c:v>
                </c:pt>
                <c:pt idx="844">
                  <c:v>1009.0500868209435</c:v>
                </c:pt>
                <c:pt idx="845">
                  <c:v>1009.0500868209435</c:v>
                </c:pt>
                <c:pt idx="846">
                  <c:v>1009.0500868209435</c:v>
                </c:pt>
                <c:pt idx="847">
                  <c:v>1009.0500868209435</c:v>
                </c:pt>
                <c:pt idx="848">
                  <c:v>1009.0500868209435</c:v>
                </c:pt>
                <c:pt idx="849">
                  <c:v>1009.0500868209435</c:v>
                </c:pt>
                <c:pt idx="850">
                  <c:v>1009.0500868209435</c:v>
                </c:pt>
                <c:pt idx="851">
                  <c:v>1009.0500868209435</c:v>
                </c:pt>
                <c:pt idx="852">
                  <c:v>1009.0500868209435</c:v>
                </c:pt>
                <c:pt idx="853">
                  <c:v>1009.0500868209435</c:v>
                </c:pt>
                <c:pt idx="854">
                  <c:v>1009.0500868209435</c:v>
                </c:pt>
                <c:pt idx="855">
                  <c:v>1009.0500868209435</c:v>
                </c:pt>
                <c:pt idx="856">
                  <c:v>1009.0500868209435</c:v>
                </c:pt>
                <c:pt idx="857">
                  <c:v>1009.0500868209435</c:v>
                </c:pt>
                <c:pt idx="858">
                  <c:v>1009.0500868209435</c:v>
                </c:pt>
                <c:pt idx="859">
                  <c:v>1009.0500868209435</c:v>
                </c:pt>
                <c:pt idx="860">
                  <c:v>1009.0500868209435</c:v>
                </c:pt>
                <c:pt idx="861">
                  <c:v>1009.0500868209435</c:v>
                </c:pt>
                <c:pt idx="862">
                  <c:v>1009.0500868209435</c:v>
                </c:pt>
                <c:pt idx="863">
                  <c:v>1009.0500868209435</c:v>
                </c:pt>
                <c:pt idx="864">
                  <c:v>1009.0500868209435</c:v>
                </c:pt>
                <c:pt idx="865">
                  <c:v>1009.0500868209435</c:v>
                </c:pt>
                <c:pt idx="866">
                  <c:v>1009.0500868209435</c:v>
                </c:pt>
                <c:pt idx="867">
                  <c:v>1009.0500868209435</c:v>
                </c:pt>
                <c:pt idx="868">
                  <c:v>1009.0500868209435</c:v>
                </c:pt>
                <c:pt idx="869">
                  <c:v>1009.0500868209435</c:v>
                </c:pt>
                <c:pt idx="870">
                  <c:v>1009.0500868209435</c:v>
                </c:pt>
                <c:pt idx="871">
                  <c:v>1009.0500868209435</c:v>
                </c:pt>
                <c:pt idx="872">
                  <c:v>1009.0500868209435</c:v>
                </c:pt>
                <c:pt idx="873">
                  <c:v>1009.0500868209435</c:v>
                </c:pt>
                <c:pt idx="874">
                  <c:v>1009.0500868209435</c:v>
                </c:pt>
                <c:pt idx="875">
                  <c:v>1009.0500868209435</c:v>
                </c:pt>
                <c:pt idx="876">
                  <c:v>1009.0500868209435</c:v>
                </c:pt>
                <c:pt idx="877">
                  <c:v>1009.0500868209435</c:v>
                </c:pt>
                <c:pt idx="878">
                  <c:v>1009.0500868209435</c:v>
                </c:pt>
                <c:pt idx="879">
                  <c:v>1009.0500868209435</c:v>
                </c:pt>
                <c:pt idx="880">
                  <c:v>1009.0500868209435</c:v>
                </c:pt>
                <c:pt idx="881">
                  <c:v>1009.0500868209435</c:v>
                </c:pt>
                <c:pt idx="882">
                  <c:v>1009.0500868209435</c:v>
                </c:pt>
                <c:pt idx="883">
                  <c:v>1009.0500868209435</c:v>
                </c:pt>
                <c:pt idx="884">
                  <c:v>1009.0500868209435</c:v>
                </c:pt>
                <c:pt idx="885">
                  <c:v>1009.0500868209435</c:v>
                </c:pt>
                <c:pt idx="886">
                  <c:v>1009.0500868209435</c:v>
                </c:pt>
                <c:pt idx="887">
                  <c:v>1009.0500868209435</c:v>
                </c:pt>
                <c:pt idx="888">
                  <c:v>1009.0500868209435</c:v>
                </c:pt>
                <c:pt idx="889">
                  <c:v>1009.0500868209435</c:v>
                </c:pt>
                <c:pt idx="890">
                  <c:v>1009.0500868209435</c:v>
                </c:pt>
                <c:pt idx="891">
                  <c:v>1009.0500868209435</c:v>
                </c:pt>
                <c:pt idx="892">
                  <c:v>1009.0500868209435</c:v>
                </c:pt>
                <c:pt idx="893">
                  <c:v>1009.0500868209435</c:v>
                </c:pt>
                <c:pt idx="894">
                  <c:v>1009.0500868209435</c:v>
                </c:pt>
                <c:pt idx="895">
                  <c:v>1009.0500868209435</c:v>
                </c:pt>
                <c:pt idx="896">
                  <c:v>1009.0500868209435</c:v>
                </c:pt>
                <c:pt idx="897">
                  <c:v>1009.0500868209435</c:v>
                </c:pt>
                <c:pt idx="898">
                  <c:v>1009.0500868209435</c:v>
                </c:pt>
                <c:pt idx="899">
                  <c:v>1009.0500868209435</c:v>
                </c:pt>
                <c:pt idx="900">
                  <c:v>1009.0500868209435</c:v>
                </c:pt>
                <c:pt idx="901">
                  <c:v>1009.0500868209435</c:v>
                </c:pt>
                <c:pt idx="902">
                  <c:v>1009.0500868209435</c:v>
                </c:pt>
                <c:pt idx="903">
                  <c:v>1009.0500868209435</c:v>
                </c:pt>
                <c:pt idx="904">
                  <c:v>1009.0500868209435</c:v>
                </c:pt>
                <c:pt idx="905">
                  <c:v>1009.0500868209435</c:v>
                </c:pt>
                <c:pt idx="906">
                  <c:v>1009.0500868209435</c:v>
                </c:pt>
                <c:pt idx="907">
                  <c:v>1009.0500868209435</c:v>
                </c:pt>
                <c:pt idx="908">
                  <c:v>1009.0500868209435</c:v>
                </c:pt>
                <c:pt idx="909">
                  <c:v>1009.0500868209435</c:v>
                </c:pt>
                <c:pt idx="910">
                  <c:v>1009.0500868209435</c:v>
                </c:pt>
                <c:pt idx="911">
                  <c:v>1009.0500868209435</c:v>
                </c:pt>
                <c:pt idx="912">
                  <c:v>1009.0500868209435</c:v>
                </c:pt>
                <c:pt idx="913">
                  <c:v>1009.0500868209435</c:v>
                </c:pt>
                <c:pt idx="914">
                  <c:v>1009.0500868209435</c:v>
                </c:pt>
                <c:pt idx="915">
                  <c:v>1009.0500868209435</c:v>
                </c:pt>
                <c:pt idx="916">
                  <c:v>1009.0500868209435</c:v>
                </c:pt>
                <c:pt idx="917">
                  <c:v>1009.0500868209435</c:v>
                </c:pt>
                <c:pt idx="918">
                  <c:v>1009.0500868209435</c:v>
                </c:pt>
                <c:pt idx="919">
                  <c:v>1009.0500868209435</c:v>
                </c:pt>
                <c:pt idx="920">
                  <c:v>1009.0500868209435</c:v>
                </c:pt>
                <c:pt idx="921">
                  <c:v>1009.0500868209435</c:v>
                </c:pt>
                <c:pt idx="922">
                  <c:v>1009.0500868209435</c:v>
                </c:pt>
                <c:pt idx="923">
                  <c:v>1009.0500868209435</c:v>
                </c:pt>
                <c:pt idx="924">
                  <c:v>1009.0500868209435</c:v>
                </c:pt>
                <c:pt idx="925">
                  <c:v>1009.0500868209435</c:v>
                </c:pt>
                <c:pt idx="926">
                  <c:v>1009.0500868209435</c:v>
                </c:pt>
                <c:pt idx="927">
                  <c:v>1009.0500868209435</c:v>
                </c:pt>
                <c:pt idx="928">
                  <c:v>1009.0500868209435</c:v>
                </c:pt>
                <c:pt idx="929">
                  <c:v>1009.0500868209435</c:v>
                </c:pt>
                <c:pt idx="930">
                  <c:v>1009.0500868209435</c:v>
                </c:pt>
                <c:pt idx="931">
                  <c:v>1009.0500868209435</c:v>
                </c:pt>
                <c:pt idx="932">
                  <c:v>1009.0500868209435</c:v>
                </c:pt>
                <c:pt idx="933">
                  <c:v>1009.0500868209435</c:v>
                </c:pt>
                <c:pt idx="934">
                  <c:v>1009.0500868209435</c:v>
                </c:pt>
                <c:pt idx="935">
                  <c:v>1009.0500868209435</c:v>
                </c:pt>
                <c:pt idx="936">
                  <c:v>1009.0500868209435</c:v>
                </c:pt>
                <c:pt idx="937">
                  <c:v>1009.0500868209435</c:v>
                </c:pt>
                <c:pt idx="938">
                  <c:v>1009.0500868209435</c:v>
                </c:pt>
                <c:pt idx="939">
                  <c:v>1009.0500868209435</c:v>
                </c:pt>
                <c:pt idx="940">
                  <c:v>1009.0500868209435</c:v>
                </c:pt>
                <c:pt idx="941">
                  <c:v>1009.0500868209435</c:v>
                </c:pt>
                <c:pt idx="942">
                  <c:v>1009.0500868209435</c:v>
                </c:pt>
                <c:pt idx="943">
                  <c:v>1009.0500868209435</c:v>
                </c:pt>
                <c:pt idx="944">
                  <c:v>1009.0500868209435</c:v>
                </c:pt>
                <c:pt idx="945">
                  <c:v>1009.0500868209435</c:v>
                </c:pt>
                <c:pt idx="946">
                  <c:v>1009.0500868209435</c:v>
                </c:pt>
                <c:pt idx="947">
                  <c:v>1009.0500868209435</c:v>
                </c:pt>
                <c:pt idx="948">
                  <c:v>1009.0500868209435</c:v>
                </c:pt>
                <c:pt idx="949">
                  <c:v>1009.0500868209435</c:v>
                </c:pt>
                <c:pt idx="950">
                  <c:v>1009.0500868209435</c:v>
                </c:pt>
                <c:pt idx="951">
                  <c:v>1009.0500868209435</c:v>
                </c:pt>
                <c:pt idx="952">
                  <c:v>1009.0500868209435</c:v>
                </c:pt>
                <c:pt idx="953">
                  <c:v>1009.0500868209435</c:v>
                </c:pt>
                <c:pt idx="954">
                  <c:v>1009.0500868209435</c:v>
                </c:pt>
                <c:pt idx="955">
                  <c:v>1009.0500868209435</c:v>
                </c:pt>
                <c:pt idx="956">
                  <c:v>1009.0500868209435</c:v>
                </c:pt>
                <c:pt idx="957">
                  <c:v>1009.0500868209435</c:v>
                </c:pt>
                <c:pt idx="958">
                  <c:v>1009.0500868209435</c:v>
                </c:pt>
                <c:pt idx="959">
                  <c:v>1009.0500868209435</c:v>
                </c:pt>
                <c:pt idx="960">
                  <c:v>1009.0500868209435</c:v>
                </c:pt>
                <c:pt idx="961">
                  <c:v>1009.0500868209435</c:v>
                </c:pt>
                <c:pt idx="962">
                  <c:v>1009.0500868209435</c:v>
                </c:pt>
                <c:pt idx="963">
                  <c:v>1009.0500868209435</c:v>
                </c:pt>
                <c:pt idx="964">
                  <c:v>1009.0500868209435</c:v>
                </c:pt>
                <c:pt idx="965">
                  <c:v>1009.0500868209435</c:v>
                </c:pt>
                <c:pt idx="966">
                  <c:v>1009.0500868209435</c:v>
                </c:pt>
                <c:pt idx="967">
                  <c:v>1009.0500868209435</c:v>
                </c:pt>
                <c:pt idx="968">
                  <c:v>1009.0500868209435</c:v>
                </c:pt>
                <c:pt idx="969">
                  <c:v>1009.0500868209435</c:v>
                </c:pt>
                <c:pt idx="970">
                  <c:v>1009.0500868209435</c:v>
                </c:pt>
                <c:pt idx="971">
                  <c:v>1009.0500868209435</c:v>
                </c:pt>
                <c:pt idx="972">
                  <c:v>1009.0500868209435</c:v>
                </c:pt>
                <c:pt idx="973">
                  <c:v>1009.0500868209435</c:v>
                </c:pt>
                <c:pt idx="974">
                  <c:v>1009.0500868209435</c:v>
                </c:pt>
                <c:pt idx="975">
                  <c:v>1009.0500868209435</c:v>
                </c:pt>
                <c:pt idx="976">
                  <c:v>1009.0500868209435</c:v>
                </c:pt>
                <c:pt idx="977">
                  <c:v>1009.0500868209435</c:v>
                </c:pt>
                <c:pt idx="978">
                  <c:v>1009.0500868209435</c:v>
                </c:pt>
                <c:pt idx="979">
                  <c:v>1009.0500868209435</c:v>
                </c:pt>
                <c:pt idx="980">
                  <c:v>1009.0500868209435</c:v>
                </c:pt>
                <c:pt idx="981">
                  <c:v>1009.0500868209435</c:v>
                </c:pt>
                <c:pt idx="982">
                  <c:v>1009.0500868209435</c:v>
                </c:pt>
                <c:pt idx="983">
                  <c:v>1009.0500868209435</c:v>
                </c:pt>
                <c:pt idx="984">
                  <c:v>1009.0500868209435</c:v>
                </c:pt>
                <c:pt idx="985">
                  <c:v>1009.0500868209435</c:v>
                </c:pt>
                <c:pt idx="986">
                  <c:v>1009.0500868209435</c:v>
                </c:pt>
                <c:pt idx="987">
                  <c:v>1009.0500868209435</c:v>
                </c:pt>
                <c:pt idx="988">
                  <c:v>1009.0500868209435</c:v>
                </c:pt>
                <c:pt idx="989">
                  <c:v>1009.0500868209435</c:v>
                </c:pt>
                <c:pt idx="990">
                  <c:v>1009.0500868209435</c:v>
                </c:pt>
                <c:pt idx="991">
                  <c:v>1009.0500868209435</c:v>
                </c:pt>
                <c:pt idx="992">
                  <c:v>1009.0500868209435</c:v>
                </c:pt>
                <c:pt idx="993">
                  <c:v>1009.0500868209435</c:v>
                </c:pt>
                <c:pt idx="994">
                  <c:v>1009.0500868209435</c:v>
                </c:pt>
                <c:pt idx="995">
                  <c:v>1009.0500868209435</c:v>
                </c:pt>
                <c:pt idx="996">
                  <c:v>1009.0500868209435</c:v>
                </c:pt>
                <c:pt idx="997">
                  <c:v>1009.0500868209435</c:v>
                </c:pt>
                <c:pt idx="998">
                  <c:v>1009.0500868209435</c:v>
                </c:pt>
                <c:pt idx="999">
                  <c:v>1009.0500868209435</c:v>
                </c:pt>
                <c:pt idx="1000">
                  <c:v>1009.0500868209435</c:v>
                </c:pt>
              </c:numCache>
            </c:numRef>
          </c:yVal>
          <c:smooth val="0"/>
          <c:extLst>
            <c:ext xmlns:c16="http://schemas.microsoft.com/office/drawing/2014/chart" uri="{C3380CC4-5D6E-409C-BE32-E72D297353CC}">
              <c16:uniqueId val="{00000000-E4E2-4243-A3E4-C8EFD9A6247C}"/>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pt idx="101">
                  <c:v>1.0100000000000007</c:v>
                </c:pt>
                <c:pt idx="102">
                  <c:v>1.0200000000000007</c:v>
                </c:pt>
                <c:pt idx="103">
                  <c:v>1.0300000000000007</c:v>
                </c:pt>
                <c:pt idx="104">
                  <c:v>1.0400000000000007</c:v>
                </c:pt>
                <c:pt idx="105">
                  <c:v>1.0500000000000007</c:v>
                </c:pt>
                <c:pt idx="106">
                  <c:v>1.0600000000000007</c:v>
                </c:pt>
                <c:pt idx="107">
                  <c:v>1.0700000000000007</c:v>
                </c:pt>
                <c:pt idx="108">
                  <c:v>1.0800000000000007</c:v>
                </c:pt>
                <c:pt idx="109">
                  <c:v>1.0900000000000007</c:v>
                </c:pt>
                <c:pt idx="110">
                  <c:v>1.1000000000000008</c:v>
                </c:pt>
                <c:pt idx="111">
                  <c:v>1.1100000000000008</c:v>
                </c:pt>
                <c:pt idx="112">
                  <c:v>1.1200000000000008</c:v>
                </c:pt>
                <c:pt idx="113">
                  <c:v>1.1300000000000008</c:v>
                </c:pt>
                <c:pt idx="114">
                  <c:v>1.1400000000000008</c:v>
                </c:pt>
                <c:pt idx="115">
                  <c:v>1.1500000000000008</c:v>
                </c:pt>
                <c:pt idx="116">
                  <c:v>1.1600000000000008</c:v>
                </c:pt>
                <c:pt idx="117">
                  <c:v>1.1700000000000008</c:v>
                </c:pt>
                <c:pt idx="118">
                  <c:v>1.1800000000000008</c:v>
                </c:pt>
                <c:pt idx="119">
                  <c:v>1.1900000000000008</c:v>
                </c:pt>
                <c:pt idx="120">
                  <c:v>1.2000000000000008</c:v>
                </c:pt>
                <c:pt idx="121">
                  <c:v>1.2100000000000009</c:v>
                </c:pt>
                <c:pt idx="122">
                  <c:v>1.2200000000000009</c:v>
                </c:pt>
                <c:pt idx="123">
                  <c:v>1.2300000000000009</c:v>
                </c:pt>
                <c:pt idx="124">
                  <c:v>1.2400000000000009</c:v>
                </c:pt>
                <c:pt idx="125">
                  <c:v>1.2500000000000009</c:v>
                </c:pt>
                <c:pt idx="126">
                  <c:v>1.2600000000000009</c:v>
                </c:pt>
                <c:pt idx="127">
                  <c:v>1.2700000000000009</c:v>
                </c:pt>
                <c:pt idx="128">
                  <c:v>1.2800000000000009</c:v>
                </c:pt>
                <c:pt idx="129">
                  <c:v>1.2900000000000009</c:v>
                </c:pt>
                <c:pt idx="130">
                  <c:v>1.3000000000000009</c:v>
                </c:pt>
                <c:pt idx="131">
                  <c:v>1.3100000000000009</c:v>
                </c:pt>
                <c:pt idx="132">
                  <c:v>1.320000000000001</c:v>
                </c:pt>
                <c:pt idx="133">
                  <c:v>1.330000000000001</c:v>
                </c:pt>
                <c:pt idx="134">
                  <c:v>1.340000000000001</c:v>
                </c:pt>
                <c:pt idx="135">
                  <c:v>1.350000000000001</c:v>
                </c:pt>
                <c:pt idx="136">
                  <c:v>1.360000000000001</c:v>
                </c:pt>
                <c:pt idx="137">
                  <c:v>1.370000000000001</c:v>
                </c:pt>
                <c:pt idx="138">
                  <c:v>1.380000000000001</c:v>
                </c:pt>
                <c:pt idx="139">
                  <c:v>1.390000000000001</c:v>
                </c:pt>
                <c:pt idx="140">
                  <c:v>1.400000000000001</c:v>
                </c:pt>
                <c:pt idx="141">
                  <c:v>1.410000000000001</c:v>
                </c:pt>
                <c:pt idx="142">
                  <c:v>1.420000000000001</c:v>
                </c:pt>
                <c:pt idx="143">
                  <c:v>1.430000000000001</c:v>
                </c:pt>
                <c:pt idx="144">
                  <c:v>1.4400000000000011</c:v>
                </c:pt>
                <c:pt idx="145">
                  <c:v>1.4500000000000011</c:v>
                </c:pt>
                <c:pt idx="146">
                  <c:v>1.4600000000000011</c:v>
                </c:pt>
                <c:pt idx="147">
                  <c:v>1.4700000000000011</c:v>
                </c:pt>
                <c:pt idx="148">
                  <c:v>1.4800000000000011</c:v>
                </c:pt>
                <c:pt idx="149">
                  <c:v>1.4900000000000011</c:v>
                </c:pt>
                <c:pt idx="150">
                  <c:v>1.5000000000000011</c:v>
                </c:pt>
                <c:pt idx="151">
                  <c:v>1.5100000000000011</c:v>
                </c:pt>
                <c:pt idx="152">
                  <c:v>1.5200000000000011</c:v>
                </c:pt>
                <c:pt idx="153">
                  <c:v>1.5300000000000011</c:v>
                </c:pt>
                <c:pt idx="154">
                  <c:v>1.5400000000000011</c:v>
                </c:pt>
                <c:pt idx="155">
                  <c:v>1.5500000000000012</c:v>
                </c:pt>
                <c:pt idx="156">
                  <c:v>1.5600000000000012</c:v>
                </c:pt>
                <c:pt idx="157">
                  <c:v>1.5700000000000012</c:v>
                </c:pt>
                <c:pt idx="158">
                  <c:v>1.5800000000000012</c:v>
                </c:pt>
                <c:pt idx="159">
                  <c:v>1.5900000000000012</c:v>
                </c:pt>
                <c:pt idx="160">
                  <c:v>1.6000000000000012</c:v>
                </c:pt>
                <c:pt idx="161">
                  <c:v>1.6100000000000012</c:v>
                </c:pt>
                <c:pt idx="162">
                  <c:v>1.6200000000000012</c:v>
                </c:pt>
                <c:pt idx="163">
                  <c:v>1.6300000000000012</c:v>
                </c:pt>
                <c:pt idx="164">
                  <c:v>1.6400000000000012</c:v>
                </c:pt>
                <c:pt idx="165">
                  <c:v>1.6500000000000012</c:v>
                </c:pt>
                <c:pt idx="166">
                  <c:v>1.6600000000000013</c:v>
                </c:pt>
                <c:pt idx="167">
                  <c:v>1.6700000000000013</c:v>
                </c:pt>
                <c:pt idx="168">
                  <c:v>1.6800000000000013</c:v>
                </c:pt>
                <c:pt idx="169">
                  <c:v>1.6900000000000013</c:v>
                </c:pt>
                <c:pt idx="170">
                  <c:v>1.7000000000000013</c:v>
                </c:pt>
                <c:pt idx="171">
                  <c:v>1.7100000000000013</c:v>
                </c:pt>
                <c:pt idx="172">
                  <c:v>1.7200000000000013</c:v>
                </c:pt>
                <c:pt idx="173">
                  <c:v>1.7300000000000013</c:v>
                </c:pt>
                <c:pt idx="174">
                  <c:v>1.7400000000000013</c:v>
                </c:pt>
                <c:pt idx="175">
                  <c:v>1.7500000000000013</c:v>
                </c:pt>
                <c:pt idx="176">
                  <c:v>1.7600000000000013</c:v>
                </c:pt>
                <c:pt idx="177">
                  <c:v>1.7700000000000014</c:v>
                </c:pt>
                <c:pt idx="178">
                  <c:v>1.7800000000000014</c:v>
                </c:pt>
                <c:pt idx="179">
                  <c:v>1.7900000000000014</c:v>
                </c:pt>
                <c:pt idx="180">
                  <c:v>1.8000000000000014</c:v>
                </c:pt>
                <c:pt idx="181">
                  <c:v>1.8100000000000014</c:v>
                </c:pt>
                <c:pt idx="182">
                  <c:v>1.8200000000000014</c:v>
                </c:pt>
                <c:pt idx="183">
                  <c:v>1.8300000000000014</c:v>
                </c:pt>
                <c:pt idx="184">
                  <c:v>1.8400000000000014</c:v>
                </c:pt>
                <c:pt idx="185">
                  <c:v>1.8500000000000014</c:v>
                </c:pt>
                <c:pt idx="186">
                  <c:v>1.8600000000000014</c:v>
                </c:pt>
                <c:pt idx="187">
                  <c:v>1.8700000000000014</c:v>
                </c:pt>
                <c:pt idx="188">
                  <c:v>1.8800000000000014</c:v>
                </c:pt>
                <c:pt idx="189">
                  <c:v>1.8900000000000015</c:v>
                </c:pt>
                <c:pt idx="190">
                  <c:v>1.9000000000000015</c:v>
                </c:pt>
                <c:pt idx="191">
                  <c:v>1.9100000000000015</c:v>
                </c:pt>
                <c:pt idx="192">
                  <c:v>1.9200000000000015</c:v>
                </c:pt>
                <c:pt idx="193">
                  <c:v>1.9300000000000015</c:v>
                </c:pt>
                <c:pt idx="194">
                  <c:v>1.9400000000000015</c:v>
                </c:pt>
                <c:pt idx="195">
                  <c:v>1.9500000000000015</c:v>
                </c:pt>
                <c:pt idx="196">
                  <c:v>1.9600000000000015</c:v>
                </c:pt>
                <c:pt idx="197">
                  <c:v>1.9700000000000015</c:v>
                </c:pt>
                <c:pt idx="198">
                  <c:v>1.9800000000000015</c:v>
                </c:pt>
                <c:pt idx="199">
                  <c:v>1.9900000000000015</c:v>
                </c:pt>
                <c:pt idx="200">
                  <c:v>2.0000000000000013</c:v>
                </c:pt>
                <c:pt idx="201">
                  <c:v>2.0100000000000011</c:v>
                </c:pt>
                <c:pt idx="202">
                  <c:v>2.0200000000000009</c:v>
                </c:pt>
                <c:pt idx="203">
                  <c:v>2.0300000000000007</c:v>
                </c:pt>
                <c:pt idx="204">
                  <c:v>2.0400000000000005</c:v>
                </c:pt>
                <c:pt idx="205">
                  <c:v>2.0500000000000003</c:v>
                </c:pt>
                <c:pt idx="206">
                  <c:v>2.06</c:v>
                </c:pt>
                <c:pt idx="207">
                  <c:v>2.0699999999999998</c:v>
                </c:pt>
                <c:pt idx="208">
                  <c:v>2.0799999999999996</c:v>
                </c:pt>
                <c:pt idx="209">
                  <c:v>2.0899999999999994</c:v>
                </c:pt>
                <c:pt idx="210">
                  <c:v>2.0999999999999992</c:v>
                </c:pt>
                <c:pt idx="211">
                  <c:v>2.109999999999999</c:v>
                </c:pt>
                <c:pt idx="212">
                  <c:v>2.1199999999999988</c:v>
                </c:pt>
                <c:pt idx="213">
                  <c:v>2.1299999999999986</c:v>
                </c:pt>
                <c:pt idx="214">
                  <c:v>2.1399999999999983</c:v>
                </c:pt>
                <c:pt idx="215">
                  <c:v>2.1499999999999981</c:v>
                </c:pt>
                <c:pt idx="216">
                  <c:v>2.1599999999999979</c:v>
                </c:pt>
                <c:pt idx="217">
                  <c:v>2.1699999999999977</c:v>
                </c:pt>
                <c:pt idx="218">
                  <c:v>2.1799999999999975</c:v>
                </c:pt>
                <c:pt idx="219">
                  <c:v>2.1899999999999973</c:v>
                </c:pt>
                <c:pt idx="220">
                  <c:v>2.1999999999999971</c:v>
                </c:pt>
                <c:pt idx="221">
                  <c:v>2.2099999999999969</c:v>
                </c:pt>
                <c:pt idx="222">
                  <c:v>2.2199999999999966</c:v>
                </c:pt>
                <c:pt idx="223">
                  <c:v>2.2299999999999964</c:v>
                </c:pt>
                <c:pt idx="224">
                  <c:v>2.2399999999999962</c:v>
                </c:pt>
                <c:pt idx="225">
                  <c:v>2.249999999999996</c:v>
                </c:pt>
                <c:pt idx="226">
                  <c:v>2.2599999999999958</c:v>
                </c:pt>
                <c:pt idx="227">
                  <c:v>2.2699999999999956</c:v>
                </c:pt>
                <c:pt idx="228">
                  <c:v>2.2799999999999954</c:v>
                </c:pt>
                <c:pt idx="229">
                  <c:v>2.2899999999999952</c:v>
                </c:pt>
                <c:pt idx="230">
                  <c:v>2.2999999999999949</c:v>
                </c:pt>
                <c:pt idx="231">
                  <c:v>2.3099999999999947</c:v>
                </c:pt>
                <c:pt idx="232">
                  <c:v>2.3199999999999945</c:v>
                </c:pt>
                <c:pt idx="233">
                  <c:v>2.3299999999999943</c:v>
                </c:pt>
                <c:pt idx="234">
                  <c:v>2.3399999999999941</c:v>
                </c:pt>
                <c:pt idx="235">
                  <c:v>2.3499999999999939</c:v>
                </c:pt>
                <c:pt idx="236">
                  <c:v>2.3599999999999937</c:v>
                </c:pt>
                <c:pt idx="237">
                  <c:v>2.3699999999999934</c:v>
                </c:pt>
                <c:pt idx="238">
                  <c:v>2.3799999999999932</c:v>
                </c:pt>
                <c:pt idx="239">
                  <c:v>2.389999999999993</c:v>
                </c:pt>
                <c:pt idx="240">
                  <c:v>2.3999999999999928</c:v>
                </c:pt>
                <c:pt idx="241">
                  <c:v>2.4099999999999926</c:v>
                </c:pt>
                <c:pt idx="242">
                  <c:v>2.4199999999999924</c:v>
                </c:pt>
                <c:pt idx="243">
                  <c:v>2.4299999999999922</c:v>
                </c:pt>
                <c:pt idx="244">
                  <c:v>2.439999999999992</c:v>
                </c:pt>
                <c:pt idx="245">
                  <c:v>2.4499999999999917</c:v>
                </c:pt>
                <c:pt idx="246">
                  <c:v>2.4599999999999915</c:v>
                </c:pt>
                <c:pt idx="247">
                  <c:v>2.4699999999999913</c:v>
                </c:pt>
                <c:pt idx="248">
                  <c:v>2.4799999999999911</c:v>
                </c:pt>
                <c:pt idx="249">
                  <c:v>2.4899999999999909</c:v>
                </c:pt>
                <c:pt idx="250">
                  <c:v>2.4999999999999907</c:v>
                </c:pt>
                <c:pt idx="251">
                  <c:v>2.5099999999999905</c:v>
                </c:pt>
                <c:pt idx="252">
                  <c:v>2.5199999999999902</c:v>
                </c:pt>
                <c:pt idx="253">
                  <c:v>2.52999999999999</c:v>
                </c:pt>
                <c:pt idx="254">
                  <c:v>2.5399999999999898</c:v>
                </c:pt>
                <c:pt idx="255">
                  <c:v>2.5499999999999896</c:v>
                </c:pt>
                <c:pt idx="256">
                  <c:v>2.5599999999999894</c:v>
                </c:pt>
                <c:pt idx="257">
                  <c:v>2.5699999999999892</c:v>
                </c:pt>
                <c:pt idx="258">
                  <c:v>2.579999999999989</c:v>
                </c:pt>
                <c:pt idx="259">
                  <c:v>2.5899999999999888</c:v>
                </c:pt>
                <c:pt idx="260">
                  <c:v>2.5999999999999885</c:v>
                </c:pt>
                <c:pt idx="261">
                  <c:v>2.6099999999999883</c:v>
                </c:pt>
                <c:pt idx="262">
                  <c:v>2.6199999999999881</c:v>
                </c:pt>
                <c:pt idx="263">
                  <c:v>2.6299999999999879</c:v>
                </c:pt>
                <c:pt idx="264">
                  <c:v>2.6399999999999877</c:v>
                </c:pt>
                <c:pt idx="265">
                  <c:v>2.6499999999999875</c:v>
                </c:pt>
                <c:pt idx="266">
                  <c:v>2.6599999999999873</c:v>
                </c:pt>
                <c:pt idx="267">
                  <c:v>2.6699999999999871</c:v>
                </c:pt>
                <c:pt idx="268">
                  <c:v>2.6799999999999868</c:v>
                </c:pt>
                <c:pt idx="269">
                  <c:v>2.6899999999999866</c:v>
                </c:pt>
                <c:pt idx="270">
                  <c:v>2.6999999999999864</c:v>
                </c:pt>
                <c:pt idx="271">
                  <c:v>2.7099999999999862</c:v>
                </c:pt>
                <c:pt idx="272">
                  <c:v>2.719999999999986</c:v>
                </c:pt>
                <c:pt idx="273">
                  <c:v>2.7299999999999858</c:v>
                </c:pt>
                <c:pt idx="274">
                  <c:v>2.7399999999999856</c:v>
                </c:pt>
                <c:pt idx="275">
                  <c:v>2.7499999999999853</c:v>
                </c:pt>
                <c:pt idx="276">
                  <c:v>2.7599999999999851</c:v>
                </c:pt>
                <c:pt idx="277">
                  <c:v>2.7699999999999849</c:v>
                </c:pt>
                <c:pt idx="278">
                  <c:v>2.7799999999999847</c:v>
                </c:pt>
                <c:pt idx="279">
                  <c:v>2.7899999999999845</c:v>
                </c:pt>
                <c:pt idx="280">
                  <c:v>2.7999999999999843</c:v>
                </c:pt>
                <c:pt idx="281">
                  <c:v>2.8099999999999841</c:v>
                </c:pt>
                <c:pt idx="282">
                  <c:v>2.8199999999999839</c:v>
                </c:pt>
                <c:pt idx="283">
                  <c:v>2.8299999999999836</c:v>
                </c:pt>
                <c:pt idx="284">
                  <c:v>2.8399999999999834</c:v>
                </c:pt>
                <c:pt idx="285">
                  <c:v>2.8499999999999832</c:v>
                </c:pt>
                <c:pt idx="286">
                  <c:v>2.859999999999983</c:v>
                </c:pt>
                <c:pt idx="287">
                  <c:v>2.8699999999999828</c:v>
                </c:pt>
                <c:pt idx="288">
                  <c:v>2.8799999999999826</c:v>
                </c:pt>
                <c:pt idx="289">
                  <c:v>2.8899999999999824</c:v>
                </c:pt>
                <c:pt idx="290">
                  <c:v>2.8999999999999821</c:v>
                </c:pt>
                <c:pt idx="291">
                  <c:v>2.9099999999999819</c:v>
                </c:pt>
                <c:pt idx="292">
                  <c:v>2.9199999999999817</c:v>
                </c:pt>
                <c:pt idx="293">
                  <c:v>2.9299999999999815</c:v>
                </c:pt>
                <c:pt idx="294">
                  <c:v>2.9399999999999813</c:v>
                </c:pt>
                <c:pt idx="295">
                  <c:v>2.9499999999999811</c:v>
                </c:pt>
                <c:pt idx="296">
                  <c:v>2.9599999999999809</c:v>
                </c:pt>
                <c:pt idx="297">
                  <c:v>2.9699999999999807</c:v>
                </c:pt>
                <c:pt idx="298">
                  <c:v>2.9799999999999804</c:v>
                </c:pt>
                <c:pt idx="299">
                  <c:v>2.9899999999999802</c:v>
                </c:pt>
                <c:pt idx="300">
                  <c:v>2.99999999999998</c:v>
                </c:pt>
                <c:pt idx="301">
                  <c:v>3.0099999999999798</c:v>
                </c:pt>
                <c:pt idx="302">
                  <c:v>3.0199999999999796</c:v>
                </c:pt>
                <c:pt idx="303">
                  <c:v>3.0299999999999794</c:v>
                </c:pt>
                <c:pt idx="304">
                  <c:v>3.0399999999999792</c:v>
                </c:pt>
                <c:pt idx="305">
                  <c:v>3.049999999999979</c:v>
                </c:pt>
                <c:pt idx="306">
                  <c:v>3.0599999999999787</c:v>
                </c:pt>
                <c:pt idx="307">
                  <c:v>3.0699999999999785</c:v>
                </c:pt>
                <c:pt idx="308">
                  <c:v>3.0799999999999783</c:v>
                </c:pt>
                <c:pt idx="309">
                  <c:v>3.0899999999999781</c:v>
                </c:pt>
                <c:pt idx="310">
                  <c:v>3.0999999999999779</c:v>
                </c:pt>
                <c:pt idx="311">
                  <c:v>3.1099999999999777</c:v>
                </c:pt>
                <c:pt idx="312">
                  <c:v>3.1199999999999775</c:v>
                </c:pt>
                <c:pt idx="313">
                  <c:v>3.1299999999999772</c:v>
                </c:pt>
                <c:pt idx="314">
                  <c:v>3.139999999999977</c:v>
                </c:pt>
                <c:pt idx="315">
                  <c:v>3.1499999999999768</c:v>
                </c:pt>
                <c:pt idx="316">
                  <c:v>3.1599999999999766</c:v>
                </c:pt>
                <c:pt idx="317">
                  <c:v>3.1699999999999764</c:v>
                </c:pt>
                <c:pt idx="318">
                  <c:v>3.1799999999999762</c:v>
                </c:pt>
                <c:pt idx="319">
                  <c:v>3.189999999999976</c:v>
                </c:pt>
                <c:pt idx="320">
                  <c:v>3.1999999999999758</c:v>
                </c:pt>
                <c:pt idx="321">
                  <c:v>3.2099999999999755</c:v>
                </c:pt>
                <c:pt idx="322">
                  <c:v>3.2199999999999753</c:v>
                </c:pt>
                <c:pt idx="323">
                  <c:v>3.2299999999999751</c:v>
                </c:pt>
                <c:pt idx="324">
                  <c:v>3.2399999999999749</c:v>
                </c:pt>
                <c:pt idx="325">
                  <c:v>3.2499999999999747</c:v>
                </c:pt>
                <c:pt idx="326">
                  <c:v>3.2599999999999745</c:v>
                </c:pt>
                <c:pt idx="327">
                  <c:v>3.2699999999999743</c:v>
                </c:pt>
                <c:pt idx="328">
                  <c:v>3.279999999999974</c:v>
                </c:pt>
                <c:pt idx="329">
                  <c:v>3.2899999999999738</c:v>
                </c:pt>
                <c:pt idx="330">
                  <c:v>3.2999999999999736</c:v>
                </c:pt>
                <c:pt idx="331">
                  <c:v>3.3099999999999734</c:v>
                </c:pt>
                <c:pt idx="332">
                  <c:v>3.3199999999999732</c:v>
                </c:pt>
                <c:pt idx="333">
                  <c:v>3.329999999999973</c:v>
                </c:pt>
                <c:pt idx="334">
                  <c:v>3.3399999999999728</c:v>
                </c:pt>
                <c:pt idx="335">
                  <c:v>3.3499999999999726</c:v>
                </c:pt>
                <c:pt idx="336">
                  <c:v>3.3599999999999723</c:v>
                </c:pt>
                <c:pt idx="337">
                  <c:v>3.3699999999999721</c:v>
                </c:pt>
                <c:pt idx="338">
                  <c:v>3.3799999999999719</c:v>
                </c:pt>
                <c:pt idx="339">
                  <c:v>3.3899999999999717</c:v>
                </c:pt>
                <c:pt idx="340">
                  <c:v>3.3999999999999715</c:v>
                </c:pt>
                <c:pt idx="341">
                  <c:v>3.4099999999999713</c:v>
                </c:pt>
                <c:pt idx="342">
                  <c:v>3.4199999999999711</c:v>
                </c:pt>
                <c:pt idx="343">
                  <c:v>3.4299999999999708</c:v>
                </c:pt>
                <c:pt idx="344">
                  <c:v>3.4399999999999706</c:v>
                </c:pt>
                <c:pt idx="345">
                  <c:v>3.4499999999999704</c:v>
                </c:pt>
                <c:pt idx="346">
                  <c:v>3.4599999999999702</c:v>
                </c:pt>
                <c:pt idx="347">
                  <c:v>3.46999999999997</c:v>
                </c:pt>
                <c:pt idx="348">
                  <c:v>3.4799999999999698</c:v>
                </c:pt>
                <c:pt idx="349">
                  <c:v>3.4899999999999696</c:v>
                </c:pt>
                <c:pt idx="350">
                  <c:v>3.4999999999999694</c:v>
                </c:pt>
                <c:pt idx="351">
                  <c:v>3.5099999999999691</c:v>
                </c:pt>
                <c:pt idx="352">
                  <c:v>3.5199999999999689</c:v>
                </c:pt>
                <c:pt idx="353">
                  <c:v>3.5299999999999687</c:v>
                </c:pt>
                <c:pt idx="354">
                  <c:v>3.5399999999999685</c:v>
                </c:pt>
                <c:pt idx="355">
                  <c:v>3.5499999999999683</c:v>
                </c:pt>
                <c:pt idx="356">
                  <c:v>3.5599999999999681</c:v>
                </c:pt>
                <c:pt idx="357">
                  <c:v>3.5699999999999679</c:v>
                </c:pt>
                <c:pt idx="358">
                  <c:v>3.5799999999999677</c:v>
                </c:pt>
                <c:pt idx="359">
                  <c:v>3.5899999999999674</c:v>
                </c:pt>
                <c:pt idx="360">
                  <c:v>3.5999999999999672</c:v>
                </c:pt>
                <c:pt idx="361">
                  <c:v>3.609999999999967</c:v>
                </c:pt>
                <c:pt idx="362">
                  <c:v>3.6199999999999668</c:v>
                </c:pt>
                <c:pt idx="363">
                  <c:v>3.6299999999999666</c:v>
                </c:pt>
                <c:pt idx="364">
                  <c:v>3.6399999999999664</c:v>
                </c:pt>
                <c:pt idx="365">
                  <c:v>3.6499999999999662</c:v>
                </c:pt>
                <c:pt idx="366">
                  <c:v>3.6599999999999659</c:v>
                </c:pt>
                <c:pt idx="367">
                  <c:v>3.6699999999999657</c:v>
                </c:pt>
                <c:pt idx="368">
                  <c:v>3.6799999999999655</c:v>
                </c:pt>
                <c:pt idx="369">
                  <c:v>3.6899999999999653</c:v>
                </c:pt>
                <c:pt idx="370">
                  <c:v>3.6999999999999651</c:v>
                </c:pt>
                <c:pt idx="371">
                  <c:v>3.7099999999999649</c:v>
                </c:pt>
                <c:pt idx="372">
                  <c:v>3.7199999999999647</c:v>
                </c:pt>
                <c:pt idx="373">
                  <c:v>3.7299999999999645</c:v>
                </c:pt>
                <c:pt idx="374">
                  <c:v>3.7399999999999642</c:v>
                </c:pt>
                <c:pt idx="375">
                  <c:v>3.749999999999964</c:v>
                </c:pt>
                <c:pt idx="376">
                  <c:v>3.7599999999999638</c:v>
                </c:pt>
                <c:pt idx="377">
                  <c:v>3.7699999999999636</c:v>
                </c:pt>
                <c:pt idx="378">
                  <c:v>3.7799999999999634</c:v>
                </c:pt>
                <c:pt idx="379">
                  <c:v>3.7899999999999632</c:v>
                </c:pt>
                <c:pt idx="380">
                  <c:v>3.799999999999963</c:v>
                </c:pt>
                <c:pt idx="381">
                  <c:v>3.8099999999999627</c:v>
                </c:pt>
                <c:pt idx="382">
                  <c:v>3.8199999999999625</c:v>
                </c:pt>
                <c:pt idx="383">
                  <c:v>3.8299999999999623</c:v>
                </c:pt>
                <c:pt idx="384">
                  <c:v>3.8399999999999621</c:v>
                </c:pt>
                <c:pt idx="385">
                  <c:v>3.8499999999999619</c:v>
                </c:pt>
                <c:pt idx="386">
                  <c:v>3.8599999999999617</c:v>
                </c:pt>
                <c:pt idx="387">
                  <c:v>3.8699999999999615</c:v>
                </c:pt>
                <c:pt idx="388">
                  <c:v>3.8799999999999613</c:v>
                </c:pt>
                <c:pt idx="389">
                  <c:v>3.889999999999961</c:v>
                </c:pt>
                <c:pt idx="390">
                  <c:v>3.8999999999999608</c:v>
                </c:pt>
                <c:pt idx="391">
                  <c:v>3.9099999999999606</c:v>
                </c:pt>
                <c:pt idx="392">
                  <c:v>3.9199999999999604</c:v>
                </c:pt>
                <c:pt idx="393">
                  <c:v>3.9299999999999602</c:v>
                </c:pt>
                <c:pt idx="394">
                  <c:v>3.93999999999996</c:v>
                </c:pt>
                <c:pt idx="395">
                  <c:v>3.9499999999999598</c:v>
                </c:pt>
                <c:pt idx="396">
                  <c:v>3.9599999999999596</c:v>
                </c:pt>
                <c:pt idx="397">
                  <c:v>3.9699999999999593</c:v>
                </c:pt>
                <c:pt idx="398">
                  <c:v>3.9799999999999591</c:v>
                </c:pt>
                <c:pt idx="399">
                  <c:v>3.9899999999999589</c:v>
                </c:pt>
                <c:pt idx="400">
                  <c:v>3.9999999999999587</c:v>
                </c:pt>
                <c:pt idx="401">
                  <c:v>4.0999999999999588</c:v>
                </c:pt>
                <c:pt idx="402">
                  <c:v>4.1999999999999584</c:v>
                </c:pt>
                <c:pt idx="403">
                  <c:v>4.2999999999999581</c:v>
                </c:pt>
                <c:pt idx="404">
                  <c:v>4.3999999999999577</c:v>
                </c:pt>
                <c:pt idx="405">
                  <c:v>4.4999999999999574</c:v>
                </c:pt>
                <c:pt idx="406">
                  <c:v>4.599999999999957</c:v>
                </c:pt>
                <c:pt idx="407">
                  <c:v>4.6999999999999567</c:v>
                </c:pt>
                <c:pt idx="408">
                  <c:v>4.7999999999999563</c:v>
                </c:pt>
                <c:pt idx="409">
                  <c:v>4.8999999999999559</c:v>
                </c:pt>
                <c:pt idx="410">
                  <c:v>4.9999999999999556</c:v>
                </c:pt>
                <c:pt idx="411">
                  <c:v>5.0999999999999552</c:v>
                </c:pt>
                <c:pt idx="412">
                  <c:v>5.1999999999999549</c:v>
                </c:pt>
                <c:pt idx="413">
                  <c:v>5.2999999999999545</c:v>
                </c:pt>
                <c:pt idx="414">
                  <c:v>5.3999999999999542</c:v>
                </c:pt>
                <c:pt idx="415">
                  <c:v>5.4999999999999538</c:v>
                </c:pt>
                <c:pt idx="416">
                  <c:v>5.5999999999999535</c:v>
                </c:pt>
                <c:pt idx="417">
                  <c:v>5.6999999999999531</c:v>
                </c:pt>
                <c:pt idx="418">
                  <c:v>5.7999999999999527</c:v>
                </c:pt>
                <c:pt idx="419">
                  <c:v>5.8999999999999524</c:v>
                </c:pt>
                <c:pt idx="420">
                  <c:v>5.999999999999952</c:v>
                </c:pt>
                <c:pt idx="421">
                  <c:v>6.0999999999999517</c:v>
                </c:pt>
                <c:pt idx="422">
                  <c:v>6.1999999999999513</c:v>
                </c:pt>
                <c:pt idx="423">
                  <c:v>6.299999999999951</c:v>
                </c:pt>
                <c:pt idx="424">
                  <c:v>6.3999999999999506</c:v>
                </c:pt>
                <c:pt idx="425">
                  <c:v>6.4999999999999503</c:v>
                </c:pt>
                <c:pt idx="426">
                  <c:v>6.5999999999999499</c:v>
                </c:pt>
                <c:pt idx="427">
                  <c:v>6.6999999999999496</c:v>
                </c:pt>
                <c:pt idx="428">
                  <c:v>6.7999999999999492</c:v>
                </c:pt>
                <c:pt idx="429">
                  <c:v>6.8999999999999488</c:v>
                </c:pt>
                <c:pt idx="430">
                  <c:v>6.9999999999999485</c:v>
                </c:pt>
                <c:pt idx="431">
                  <c:v>7.0999999999999481</c:v>
                </c:pt>
                <c:pt idx="432">
                  <c:v>7.1999999999999478</c:v>
                </c:pt>
                <c:pt idx="433">
                  <c:v>7.2999999999999474</c:v>
                </c:pt>
                <c:pt idx="434">
                  <c:v>7.3999999999999471</c:v>
                </c:pt>
                <c:pt idx="435">
                  <c:v>7.4999999999999467</c:v>
                </c:pt>
                <c:pt idx="436">
                  <c:v>7.5999999999999464</c:v>
                </c:pt>
                <c:pt idx="437">
                  <c:v>7.699999999999946</c:v>
                </c:pt>
                <c:pt idx="438">
                  <c:v>7.7999999999999456</c:v>
                </c:pt>
                <c:pt idx="439">
                  <c:v>7.8999999999999453</c:v>
                </c:pt>
                <c:pt idx="440">
                  <c:v>7.9999999999999449</c:v>
                </c:pt>
                <c:pt idx="441">
                  <c:v>8.0999999999999446</c:v>
                </c:pt>
                <c:pt idx="442">
                  <c:v>8.1999999999999442</c:v>
                </c:pt>
                <c:pt idx="443">
                  <c:v>8.2999999999999439</c:v>
                </c:pt>
                <c:pt idx="444">
                  <c:v>8.3999999999999435</c:v>
                </c:pt>
                <c:pt idx="445">
                  <c:v>8.4999999999999432</c:v>
                </c:pt>
                <c:pt idx="446">
                  <c:v>8.5999999999999428</c:v>
                </c:pt>
                <c:pt idx="447">
                  <c:v>8.6999999999999424</c:v>
                </c:pt>
                <c:pt idx="448">
                  <c:v>8.7999999999999421</c:v>
                </c:pt>
                <c:pt idx="449">
                  <c:v>8.8999999999999417</c:v>
                </c:pt>
                <c:pt idx="450">
                  <c:v>8.9999999999999414</c:v>
                </c:pt>
                <c:pt idx="451">
                  <c:v>9.099999999999941</c:v>
                </c:pt>
                <c:pt idx="452">
                  <c:v>9.1999999999999407</c:v>
                </c:pt>
                <c:pt idx="453">
                  <c:v>9.2999999999999403</c:v>
                </c:pt>
                <c:pt idx="454">
                  <c:v>9.39999999999994</c:v>
                </c:pt>
                <c:pt idx="455">
                  <c:v>9.4999999999999396</c:v>
                </c:pt>
                <c:pt idx="456">
                  <c:v>9.5999999999999392</c:v>
                </c:pt>
                <c:pt idx="457">
                  <c:v>9.6999999999999389</c:v>
                </c:pt>
                <c:pt idx="458">
                  <c:v>9.7999999999999385</c:v>
                </c:pt>
                <c:pt idx="459">
                  <c:v>9.8999999999999382</c:v>
                </c:pt>
                <c:pt idx="460">
                  <c:v>9.9999999999999378</c:v>
                </c:pt>
                <c:pt idx="461">
                  <c:v>10.099999999999937</c:v>
                </c:pt>
                <c:pt idx="462">
                  <c:v>10.199999999999937</c:v>
                </c:pt>
                <c:pt idx="463">
                  <c:v>10.299999999999937</c:v>
                </c:pt>
                <c:pt idx="464">
                  <c:v>10.399999999999936</c:v>
                </c:pt>
                <c:pt idx="465">
                  <c:v>10.499999999999936</c:v>
                </c:pt>
                <c:pt idx="466">
                  <c:v>10.599999999999936</c:v>
                </c:pt>
                <c:pt idx="467">
                  <c:v>10.699999999999935</c:v>
                </c:pt>
                <c:pt idx="468">
                  <c:v>10.799999999999935</c:v>
                </c:pt>
                <c:pt idx="469">
                  <c:v>10.899999999999935</c:v>
                </c:pt>
                <c:pt idx="470">
                  <c:v>10.999999999999934</c:v>
                </c:pt>
                <c:pt idx="471">
                  <c:v>11.099999999999934</c:v>
                </c:pt>
                <c:pt idx="472">
                  <c:v>11.199999999999934</c:v>
                </c:pt>
                <c:pt idx="473">
                  <c:v>11.299999999999933</c:v>
                </c:pt>
                <c:pt idx="474">
                  <c:v>11.399999999999933</c:v>
                </c:pt>
                <c:pt idx="475">
                  <c:v>11.499999999999932</c:v>
                </c:pt>
                <c:pt idx="476">
                  <c:v>11.599999999999932</c:v>
                </c:pt>
                <c:pt idx="477">
                  <c:v>11.699999999999932</c:v>
                </c:pt>
                <c:pt idx="478">
                  <c:v>11.799999999999931</c:v>
                </c:pt>
                <c:pt idx="479">
                  <c:v>11.899999999999931</c:v>
                </c:pt>
                <c:pt idx="480">
                  <c:v>11.999999999999931</c:v>
                </c:pt>
                <c:pt idx="481">
                  <c:v>12.09999999999993</c:v>
                </c:pt>
                <c:pt idx="482">
                  <c:v>12.19999999999993</c:v>
                </c:pt>
                <c:pt idx="483">
                  <c:v>12.29999999999993</c:v>
                </c:pt>
                <c:pt idx="484">
                  <c:v>12.399999999999929</c:v>
                </c:pt>
                <c:pt idx="485">
                  <c:v>12.499999999999929</c:v>
                </c:pt>
                <c:pt idx="486">
                  <c:v>12.599999999999929</c:v>
                </c:pt>
                <c:pt idx="487">
                  <c:v>12.699999999999928</c:v>
                </c:pt>
                <c:pt idx="488">
                  <c:v>12.799999999999928</c:v>
                </c:pt>
                <c:pt idx="489">
                  <c:v>12.899999999999928</c:v>
                </c:pt>
                <c:pt idx="490">
                  <c:v>12.999999999999927</c:v>
                </c:pt>
                <c:pt idx="491">
                  <c:v>13.099999999999927</c:v>
                </c:pt>
                <c:pt idx="492">
                  <c:v>13.199999999999926</c:v>
                </c:pt>
                <c:pt idx="493">
                  <c:v>13.299999999999926</c:v>
                </c:pt>
                <c:pt idx="494">
                  <c:v>13.399999999999926</c:v>
                </c:pt>
                <c:pt idx="495">
                  <c:v>13.499999999999925</c:v>
                </c:pt>
                <c:pt idx="496">
                  <c:v>13.599999999999925</c:v>
                </c:pt>
                <c:pt idx="497">
                  <c:v>13.699999999999925</c:v>
                </c:pt>
                <c:pt idx="498">
                  <c:v>13.799999999999924</c:v>
                </c:pt>
                <c:pt idx="499">
                  <c:v>13.899999999999924</c:v>
                </c:pt>
                <c:pt idx="500">
                  <c:v>13.999999999999924</c:v>
                </c:pt>
                <c:pt idx="501">
                  <c:v>14.099999999999923</c:v>
                </c:pt>
                <c:pt idx="502">
                  <c:v>14.199999999999923</c:v>
                </c:pt>
                <c:pt idx="503">
                  <c:v>14.299999999999923</c:v>
                </c:pt>
                <c:pt idx="504">
                  <c:v>14.399999999999922</c:v>
                </c:pt>
                <c:pt idx="505">
                  <c:v>14.499999999999922</c:v>
                </c:pt>
                <c:pt idx="506">
                  <c:v>14.599999999999921</c:v>
                </c:pt>
                <c:pt idx="507">
                  <c:v>14.699999999999921</c:v>
                </c:pt>
                <c:pt idx="508">
                  <c:v>14.799999999999921</c:v>
                </c:pt>
                <c:pt idx="509">
                  <c:v>14.89999999999992</c:v>
                </c:pt>
                <c:pt idx="510">
                  <c:v>14.99999999999992</c:v>
                </c:pt>
                <c:pt idx="511">
                  <c:v>15.09999999999992</c:v>
                </c:pt>
                <c:pt idx="512">
                  <c:v>15.199999999999919</c:v>
                </c:pt>
                <c:pt idx="513">
                  <c:v>15.299999999999919</c:v>
                </c:pt>
                <c:pt idx="514">
                  <c:v>15.399999999999919</c:v>
                </c:pt>
                <c:pt idx="515">
                  <c:v>15.499999999999918</c:v>
                </c:pt>
                <c:pt idx="516">
                  <c:v>15.599999999999918</c:v>
                </c:pt>
                <c:pt idx="517">
                  <c:v>15.699999999999918</c:v>
                </c:pt>
                <c:pt idx="518">
                  <c:v>15.799999999999917</c:v>
                </c:pt>
                <c:pt idx="519">
                  <c:v>15.899999999999917</c:v>
                </c:pt>
                <c:pt idx="520">
                  <c:v>15.999999999999917</c:v>
                </c:pt>
                <c:pt idx="521">
                  <c:v>16.099999999999916</c:v>
                </c:pt>
                <c:pt idx="522">
                  <c:v>16.199999999999918</c:v>
                </c:pt>
                <c:pt idx="523">
                  <c:v>16.299999999999919</c:v>
                </c:pt>
                <c:pt idx="524">
                  <c:v>16.39999999999992</c:v>
                </c:pt>
                <c:pt idx="525">
                  <c:v>16.499999999999922</c:v>
                </c:pt>
                <c:pt idx="526">
                  <c:v>16.599999999999923</c:v>
                </c:pt>
                <c:pt idx="527">
                  <c:v>16.699999999999925</c:v>
                </c:pt>
                <c:pt idx="528">
                  <c:v>16.799999999999926</c:v>
                </c:pt>
                <c:pt idx="529">
                  <c:v>16.899999999999928</c:v>
                </c:pt>
                <c:pt idx="530">
                  <c:v>16.999999999999929</c:v>
                </c:pt>
                <c:pt idx="531">
                  <c:v>17.09999999999993</c:v>
                </c:pt>
                <c:pt idx="532">
                  <c:v>17.199999999999932</c:v>
                </c:pt>
                <c:pt idx="533">
                  <c:v>17.299999999999933</c:v>
                </c:pt>
                <c:pt idx="534">
                  <c:v>17.399999999999935</c:v>
                </c:pt>
                <c:pt idx="535">
                  <c:v>17.499999999999936</c:v>
                </c:pt>
                <c:pt idx="536">
                  <c:v>17.599999999999937</c:v>
                </c:pt>
                <c:pt idx="537">
                  <c:v>17.699999999999939</c:v>
                </c:pt>
                <c:pt idx="538">
                  <c:v>17.79999999999994</c:v>
                </c:pt>
                <c:pt idx="539">
                  <c:v>17.899999999999942</c:v>
                </c:pt>
                <c:pt idx="540">
                  <c:v>17.999999999999943</c:v>
                </c:pt>
                <c:pt idx="541">
                  <c:v>18.099999999999945</c:v>
                </c:pt>
                <c:pt idx="542">
                  <c:v>18.199999999999946</c:v>
                </c:pt>
                <c:pt idx="543">
                  <c:v>18.299999999999947</c:v>
                </c:pt>
                <c:pt idx="544">
                  <c:v>18.399999999999949</c:v>
                </c:pt>
                <c:pt idx="545">
                  <c:v>18.49999999999995</c:v>
                </c:pt>
                <c:pt idx="546">
                  <c:v>18.599999999999952</c:v>
                </c:pt>
                <c:pt idx="547">
                  <c:v>18.699999999999953</c:v>
                </c:pt>
                <c:pt idx="548">
                  <c:v>18.799999999999955</c:v>
                </c:pt>
                <c:pt idx="549">
                  <c:v>18.899999999999956</c:v>
                </c:pt>
                <c:pt idx="550">
                  <c:v>18.999999999999957</c:v>
                </c:pt>
                <c:pt idx="551">
                  <c:v>19.099999999999959</c:v>
                </c:pt>
                <c:pt idx="552">
                  <c:v>19.19999999999996</c:v>
                </c:pt>
                <c:pt idx="553">
                  <c:v>19.299999999999962</c:v>
                </c:pt>
                <c:pt idx="554">
                  <c:v>19.399999999999963</c:v>
                </c:pt>
                <c:pt idx="555">
                  <c:v>19.499999999999964</c:v>
                </c:pt>
                <c:pt idx="556">
                  <c:v>19.599999999999966</c:v>
                </c:pt>
                <c:pt idx="557">
                  <c:v>19.699999999999967</c:v>
                </c:pt>
                <c:pt idx="558">
                  <c:v>19.799999999999969</c:v>
                </c:pt>
                <c:pt idx="559">
                  <c:v>19.89999999999997</c:v>
                </c:pt>
                <c:pt idx="560">
                  <c:v>19.999999999999972</c:v>
                </c:pt>
                <c:pt idx="561">
                  <c:v>20.099999999999973</c:v>
                </c:pt>
                <c:pt idx="562">
                  <c:v>20.199999999999974</c:v>
                </c:pt>
                <c:pt idx="563">
                  <c:v>20.299999999999976</c:v>
                </c:pt>
                <c:pt idx="564">
                  <c:v>20.399999999999977</c:v>
                </c:pt>
                <c:pt idx="565">
                  <c:v>20.499999999999979</c:v>
                </c:pt>
                <c:pt idx="566">
                  <c:v>20.59999999999998</c:v>
                </c:pt>
                <c:pt idx="567">
                  <c:v>20.699999999999982</c:v>
                </c:pt>
                <c:pt idx="568">
                  <c:v>20.799999999999983</c:v>
                </c:pt>
                <c:pt idx="569">
                  <c:v>20.899999999999984</c:v>
                </c:pt>
                <c:pt idx="570">
                  <c:v>20.999999999999986</c:v>
                </c:pt>
                <c:pt idx="571">
                  <c:v>21.099999999999987</c:v>
                </c:pt>
                <c:pt idx="572">
                  <c:v>21.199999999999989</c:v>
                </c:pt>
                <c:pt idx="573">
                  <c:v>21.29999999999999</c:v>
                </c:pt>
                <c:pt idx="574">
                  <c:v>21.399999999999991</c:v>
                </c:pt>
                <c:pt idx="575">
                  <c:v>21.499999999999993</c:v>
                </c:pt>
                <c:pt idx="576">
                  <c:v>21.599999999999994</c:v>
                </c:pt>
                <c:pt idx="577">
                  <c:v>21.699999999999996</c:v>
                </c:pt>
                <c:pt idx="578">
                  <c:v>21.799999999999997</c:v>
                </c:pt>
                <c:pt idx="579">
                  <c:v>21.9</c:v>
                </c:pt>
                <c:pt idx="580">
                  <c:v>22</c:v>
                </c:pt>
                <c:pt idx="581">
                  <c:v>22.1</c:v>
                </c:pt>
                <c:pt idx="582">
                  <c:v>22.200000000000003</c:v>
                </c:pt>
                <c:pt idx="583">
                  <c:v>22.300000000000004</c:v>
                </c:pt>
                <c:pt idx="584">
                  <c:v>22.400000000000006</c:v>
                </c:pt>
                <c:pt idx="585">
                  <c:v>22.500000000000007</c:v>
                </c:pt>
                <c:pt idx="586">
                  <c:v>22.600000000000009</c:v>
                </c:pt>
                <c:pt idx="587">
                  <c:v>22.70000000000001</c:v>
                </c:pt>
                <c:pt idx="588">
                  <c:v>22.800000000000011</c:v>
                </c:pt>
                <c:pt idx="589">
                  <c:v>22.900000000000013</c:v>
                </c:pt>
                <c:pt idx="590">
                  <c:v>23.000000000000014</c:v>
                </c:pt>
                <c:pt idx="591">
                  <c:v>23.100000000000016</c:v>
                </c:pt>
                <c:pt idx="592">
                  <c:v>23.200000000000017</c:v>
                </c:pt>
                <c:pt idx="593">
                  <c:v>23.300000000000018</c:v>
                </c:pt>
                <c:pt idx="594">
                  <c:v>23.40000000000002</c:v>
                </c:pt>
                <c:pt idx="595">
                  <c:v>23.500000000000021</c:v>
                </c:pt>
                <c:pt idx="596">
                  <c:v>23.600000000000023</c:v>
                </c:pt>
                <c:pt idx="597">
                  <c:v>23.700000000000024</c:v>
                </c:pt>
                <c:pt idx="598">
                  <c:v>23.800000000000026</c:v>
                </c:pt>
                <c:pt idx="599">
                  <c:v>23.900000000000027</c:v>
                </c:pt>
                <c:pt idx="600">
                  <c:v>24.000000000000028</c:v>
                </c:pt>
                <c:pt idx="601">
                  <c:v>24.10000000000003</c:v>
                </c:pt>
                <c:pt idx="602">
                  <c:v>24.200000000000031</c:v>
                </c:pt>
                <c:pt idx="603">
                  <c:v>24.300000000000033</c:v>
                </c:pt>
                <c:pt idx="604">
                  <c:v>24.400000000000034</c:v>
                </c:pt>
                <c:pt idx="605">
                  <c:v>24.500000000000036</c:v>
                </c:pt>
                <c:pt idx="606">
                  <c:v>24.600000000000037</c:v>
                </c:pt>
                <c:pt idx="607">
                  <c:v>24.700000000000038</c:v>
                </c:pt>
                <c:pt idx="608">
                  <c:v>24.80000000000004</c:v>
                </c:pt>
                <c:pt idx="609">
                  <c:v>24.900000000000041</c:v>
                </c:pt>
                <c:pt idx="610">
                  <c:v>25.000000000000043</c:v>
                </c:pt>
                <c:pt idx="611">
                  <c:v>25.100000000000044</c:v>
                </c:pt>
                <c:pt idx="612">
                  <c:v>25.200000000000045</c:v>
                </c:pt>
                <c:pt idx="613">
                  <c:v>25.300000000000047</c:v>
                </c:pt>
                <c:pt idx="614">
                  <c:v>25.400000000000048</c:v>
                </c:pt>
                <c:pt idx="615">
                  <c:v>25.50000000000005</c:v>
                </c:pt>
                <c:pt idx="616">
                  <c:v>25.600000000000051</c:v>
                </c:pt>
                <c:pt idx="617">
                  <c:v>25.700000000000053</c:v>
                </c:pt>
                <c:pt idx="618">
                  <c:v>25.800000000000054</c:v>
                </c:pt>
                <c:pt idx="619">
                  <c:v>25.900000000000055</c:v>
                </c:pt>
                <c:pt idx="620">
                  <c:v>26.000000000000057</c:v>
                </c:pt>
                <c:pt idx="621">
                  <c:v>26.100000000000058</c:v>
                </c:pt>
                <c:pt idx="622">
                  <c:v>26.20000000000006</c:v>
                </c:pt>
                <c:pt idx="623">
                  <c:v>26.300000000000061</c:v>
                </c:pt>
                <c:pt idx="624">
                  <c:v>26.400000000000063</c:v>
                </c:pt>
                <c:pt idx="625">
                  <c:v>26.500000000000064</c:v>
                </c:pt>
                <c:pt idx="626">
                  <c:v>26.600000000000065</c:v>
                </c:pt>
                <c:pt idx="627">
                  <c:v>26.700000000000067</c:v>
                </c:pt>
                <c:pt idx="628">
                  <c:v>26.800000000000068</c:v>
                </c:pt>
                <c:pt idx="629">
                  <c:v>26.90000000000007</c:v>
                </c:pt>
                <c:pt idx="630">
                  <c:v>27.000000000000071</c:v>
                </c:pt>
                <c:pt idx="631">
                  <c:v>27.100000000000072</c:v>
                </c:pt>
                <c:pt idx="632">
                  <c:v>27.200000000000074</c:v>
                </c:pt>
                <c:pt idx="633">
                  <c:v>27.300000000000075</c:v>
                </c:pt>
                <c:pt idx="634">
                  <c:v>27.400000000000077</c:v>
                </c:pt>
                <c:pt idx="635">
                  <c:v>27.500000000000078</c:v>
                </c:pt>
                <c:pt idx="636">
                  <c:v>27.60000000000008</c:v>
                </c:pt>
                <c:pt idx="637">
                  <c:v>27.700000000000081</c:v>
                </c:pt>
                <c:pt idx="638">
                  <c:v>27.800000000000082</c:v>
                </c:pt>
                <c:pt idx="639">
                  <c:v>27.900000000000084</c:v>
                </c:pt>
                <c:pt idx="640">
                  <c:v>28.000000000000085</c:v>
                </c:pt>
                <c:pt idx="641">
                  <c:v>28.100000000000087</c:v>
                </c:pt>
                <c:pt idx="642">
                  <c:v>28.200000000000088</c:v>
                </c:pt>
                <c:pt idx="643">
                  <c:v>28.30000000000009</c:v>
                </c:pt>
                <c:pt idx="644">
                  <c:v>28.400000000000091</c:v>
                </c:pt>
                <c:pt idx="645">
                  <c:v>28.500000000000092</c:v>
                </c:pt>
                <c:pt idx="646">
                  <c:v>28.600000000000094</c:v>
                </c:pt>
                <c:pt idx="647">
                  <c:v>28.700000000000095</c:v>
                </c:pt>
                <c:pt idx="648">
                  <c:v>28.800000000000097</c:v>
                </c:pt>
                <c:pt idx="649">
                  <c:v>28.900000000000098</c:v>
                </c:pt>
                <c:pt idx="650">
                  <c:v>29.000000000000099</c:v>
                </c:pt>
                <c:pt idx="651">
                  <c:v>29.100000000000101</c:v>
                </c:pt>
                <c:pt idx="652">
                  <c:v>29.200000000000102</c:v>
                </c:pt>
                <c:pt idx="653">
                  <c:v>29.300000000000104</c:v>
                </c:pt>
                <c:pt idx="654">
                  <c:v>29.400000000000105</c:v>
                </c:pt>
                <c:pt idx="655">
                  <c:v>29.500000000000107</c:v>
                </c:pt>
                <c:pt idx="656">
                  <c:v>29.600000000000108</c:v>
                </c:pt>
                <c:pt idx="657">
                  <c:v>29.700000000000109</c:v>
                </c:pt>
                <c:pt idx="658">
                  <c:v>29.800000000000111</c:v>
                </c:pt>
                <c:pt idx="659">
                  <c:v>29.900000000000112</c:v>
                </c:pt>
                <c:pt idx="660">
                  <c:v>30.000000000000114</c:v>
                </c:pt>
                <c:pt idx="661">
                  <c:v>30.100000000000115</c:v>
                </c:pt>
                <c:pt idx="662">
                  <c:v>30.200000000000117</c:v>
                </c:pt>
                <c:pt idx="663">
                  <c:v>30.300000000000118</c:v>
                </c:pt>
                <c:pt idx="664">
                  <c:v>30.400000000000119</c:v>
                </c:pt>
                <c:pt idx="665">
                  <c:v>30.500000000000121</c:v>
                </c:pt>
                <c:pt idx="666">
                  <c:v>30.600000000000122</c:v>
                </c:pt>
                <c:pt idx="667">
                  <c:v>30.700000000000124</c:v>
                </c:pt>
                <c:pt idx="668">
                  <c:v>30.800000000000125</c:v>
                </c:pt>
                <c:pt idx="669">
                  <c:v>30.900000000000126</c:v>
                </c:pt>
                <c:pt idx="670">
                  <c:v>31.000000000000128</c:v>
                </c:pt>
                <c:pt idx="671">
                  <c:v>31.100000000000129</c:v>
                </c:pt>
                <c:pt idx="672">
                  <c:v>31.200000000000131</c:v>
                </c:pt>
                <c:pt idx="673">
                  <c:v>31.300000000000132</c:v>
                </c:pt>
                <c:pt idx="674">
                  <c:v>31.400000000000134</c:v>
                </c:pt>
                <c:pt idx="675">
                  <c:v>31.500000000000135</c:v>
                </c:pt>
                <c:pt idx="676">
                  <c:v>31.600000000000136</c:v>
                </c:pt>
                <c:pt idx="677">
                  <c:v>31.700000000000138</c:v>
                </c:pt>
                <c:pt idx="678">
                  <c:v>31.800000000000139</c:v>
                </c:pt>
                <c:pt idx="679">
                  <c:v>31.900000000000141</c:v>
                </c:pt>
                <c:pt idx="680">
                  <c:v>32.000000000000142</c:v>
                </c:pt>
                <c:pt idx="681">
                  <c:v>32.100000000000144</c:v>
                </c:pt>
                <c:pt idx="682">
                  <c:v>32.200000000000145</c:v>
                </c:pt>
                <c:pt idx="683">
                  <c:v>32.300000000000146</c:v>
                </c:pt>
                <c:pt idx="684">
                  <c:v>32.400000000000148</c:v>
                </c:pt>
                <c:pt idx="685">
                  <c:v>32.500000000000149</c:v>
                </c:pt>
                <c:pt idx="686">
                  <c:v>32.600000000000151</c:v>
                </c:pt>
                <c:pt idx="687">
                  <c:v>32.700000000000152</c:v>
                </c:pt>
                <c:pt idx="688">
                  <c:v>32.800000000000153</c:v>
                </c:pt>
                <c:pt idx="689">
                  <c:v>32.900000000000155</c:v>
                </c:pt>
                <c:pt idx="690">
                  <c:v>33.000000000000156</c:v>
                </c:pt>
                <c:pt idx="691">
                  <c:v>33.100000000000158</c:v>
                </c:pt>
                <c:pt idx="692">
                  <c:v>33.200000000000159</c:v>
                </c:pt>
                <c:pt idx="693">
                  <c:v>33.300000000000161</c:v>
                </c:pt>
                <c:pt idx="694">
                  <c:v>33.400000000000162</c:v>
                </c:pt>
                <c:pt idx="695">
                  <c:v>33.500000000000163</c:v>
                </c:pt>
                <c:pt idx="696">
                  <c:v>33.600000000000165</c:v>
                </c:pt>
                <c:pt idx="697">
                  <c:v>33.700000000000166</c:v>
                </c:pt>
                <c:pt idx="698">
                  <c:v>33.800000000000168</c:v>
                </c:pt>
                <c:pt idx="699">
                  <c:v>33.900000000000169</c:v>
                </c:pt>
                <c:pt idx="700">
                  <c:v>34.000000000000171</c:v>
                </c:pt>
                <c:pt idx="701">
                  <c:v>34.100000000000172</c:v>
                </c:pt>
                <c:pt idx="702">
                  <c:v>34.200000000000173</c:v>
                </c:pt>
                <c:pt idx="703">
                  <c:v>34.300000000000175</c:v>
                </c:pt>
                <c:pt idx="704">
                  <c:v>34.400000000000176</c:v>
                </c:pt>
                <c:pt idx="705">
                  <c:v>34.500000000000178</c:v>
                </c:pt>
                <c:pt idx="706">
                  <c:v>34.600000000000179</c:v>
                </c:pt>
                <c:pt idx="707">
                  <c:v>34.70000000000018</c:v>
                </c:pt>
                <c:pt idx="708">
                  <c:v>34.800000000000182</c:v>
                </c:pt>
                <c:pt idx="709">
                  <c:v>34.900000000000183</c:v>
                </c:pt>
                <c:pt idx="710">
                  <c:v>35.000000000000185</c:v>
                </c:pt>
                <c:pt idx="711">
                  <c:v>35.100000000000186</c:v>
                </c:pt>
                <c:pt idx="712">
                  <c:v>35.200000000000188</c:v>
                </c:pt>
                <c:pt idx="713">
                  <c:v>35.300000000000189</c:v>
                </c:pt>
                <c:pt idx="714">
                  <c:v>35.40000000000019</c:v>
                </c:pt>
                <c:pt idx="715">
                  <c:v>35.500000000000192</c:v>
                </c:pt>
                <c:pt idx="716">
                  <c:v>35.600000000000193</c:v>
                </c:pt>
                <c:pt idx="717">
                  <c:v>35.600100000000197</c:v>
                </c:pt>
                <c:pt idx="718">
                  <c:v>35.6002000000002</c:v>
                </c:pt>
                <c:pt idx="719">
                  <c:v>35.600300000000203</c:v>
                </c:pt>
                <c:pt idx="720">
                  <c:v>35.600400000000207</c:v>
                </c:pt>
                <c:pt idx="721">
                  <c:v>35.60050000000021</c:v>
                </c:pt>
                <c:pt idx="722">
                  <c:v>35.600600000000213</c:v>
                </c:pt>
                <c:pt idx="723">
                  <c:v>35.600700000000217</c:v>
                </c:pt>
                <c:pt idx="724">
                  <c:v>35.60080000000022</c:v>
                </c:pt>
                <c:pt idx="725">
                  <c:v>35.600900000000223</c:v>
                </c:pt>
                <c:pt idx="726">
                  <c:v>35.601000000000226</c:v>
                </c:pt>
                <c:pt idx="727">
                  <c:v>35.60110000000023</c:v>
                </c:pt>
                <c:pt idx="728">
                  <c:v>35.601200000000233</c:v>
                </c:pt>
                <c:pt idx="729">
                  <c:v>35.601300000000236</c:v>
                </c:pt>
                <c:pt idx="730">
                  <c:v>35.60140000000024</c:v>
                </c:pt>
                <c:pt idx="731">
                  <c:v>35.601500000000243</c:v>
                </c:pt>
                <c:pt idx="732">
                  <c:v>35.601600000000246</c:v>
                </c:pt>
                <c:pt idx="733">
                  <c:v>35.60170000000025</c:v>
                </c:pt>
                <c:pt idx="734">
                  <c:v>35.601800000000253</c:v>
                </c:pt>
                <c:pt idx="735">
                  <c:v>35.601900000000256</c:v>
                </c:pt>
                <c:pt idx="736">
                  <c:v>35.60200000000026</c:v>
                </c:pt>
                <c:pt idx="737">
                  <c:v>35.602100000000263</c:v>
                </c:pt>
                <c:pt idx="738">
                  <c:v>35.602200000000266</c:v>
                </c:pt>
                <c:pt idx="739">
                  <c:v>35.60230000000027</c:v>
                </c:pt>
                <c:pt idx="740">
                  <c:v>35.602400000000273</c:v>
                </c:pt>
                <c:pt idx="741">
                  <c:v>35.602500000000276</c:v>
                </c:pt>
                <c:pt idx="742">
                  <c:v>35.60260000000028</c:v>
                </c:pt>
                <c:pt idx="743">
                  <c:v>35.602700000000283</c:v>
                </c:pt>
                <c:pt idx="744">
                  <c:v>35.602800000000286</c:v>
                </c:pt>
                <c:pt idx="745">
                  <c:v>35.60290000000029</c:v>
                </c:pt>
                <c:pt idx="746">
                  <c:v>35.603000000000293</c:v>
                </c:pt>
                <c:pt idx="747">
                  <c:v>35.603100000000296</c:v>
                </c:pt>
                <c:pt idx="748">
                  <c:v>35.603200000000299</c:v>
                </c:pt>
                <c:pt idx="749">
                  <c:v>35.603300000000303</c:v>
                </c:pt>
                <c:pt idx="750">
                  <c:v>35.603400000000306</c:v>
                </c:pt>
                <c:pt idx="751">
                  <c:v>35.603500000000309</c:v>
                </c:pt>
                <c:pt idx="752">
                  <c:v>35.603600000000313</c:v>
                </c:pt>
                <c:pt idx="753">
                  <c:v>35.603700000000316</c:v>
                </c:pt>
                <c:pt idx="754">
                  <c:v>35.603800000000319</c:v>
                </c:pt>
                <c:pt idx="755">
                  <c:v>35.603900000000323</c:v>
                </c:pt>
                <c:pt idx="756">
                  <c:v>35.604000000000326</c:v>
                </c:pt>
                <c:pt idx="757">
                  <c:v>35.604100000000329</c:v>
                </c:pt>
                <c:pt idx="758">
                  <c:v>35.604200000000333</c:v>
                </c:pt>
                <c:pt idx="759">
                  <c:v>35.604300000000336</c:v>
                </c:pt>
                <c:pt idx="760">
                  <c:v>35.604400000000339</c:v>
                </c:pt>
                <c:pt idx="761">
                  <c:v>35.604500000000343</c:v>
                </c:pt>
                <c:pt idx="762">
                  <c:v>35.604600000000346</c:v>
                </c:pt>
                <c:pt idx="763">
                  <c:v>35.604700000000349</c:v>
                </c:pt>
                <c:pt idx="764">
                  <c:v>35.604800000000353</c:v>
                </c:pt>
                <c:pt idx="765">
                  <c:v>35.604900000000356</c:v>
                </c:pt>
                <c:pt idx="766">
                  <c:v>35.605000000000359</c:v>
                </c:pt>
                <c:pt idx="767">
                  <c:v>35.605100000000363</c:v>
                </c:pt>
                <c:pt idx="768">
                  <c:v>35.605200000000366</c:v>
                </c:pt>
                <c:pt idx="769">
                  <c:v>35.605300000000369</c:v>
                </c:pt>
                <c:pt idx="770">
                  <c:v>35.605400000000373</c:v>
                </c:pt>
                <c:pt idx="771">
                  <c:v>35.605500000000376</c:v>
                </c:pt>
                <c:pt idx="772">
                  <c:v>35.605600000000379</c:v>
                </c:pt>
                <c:pt idx="773">
                  <c:v>35.605700000000382</c:v>
                </c:pt>
                <c:pt idx="774">
                  <c:v>35.605800000000386</c:v>
                </c:pt>
                <c:pt idx="775">
                  <c:v>35.605900000000389</c:v>
                </c:pt>
                <c:pt idx="776">
                  <c:v>35.606000000000392</c:v>
                </c:pt>
                <c:pt idx="777">
                  <c:v>35.606100000000396</c:v>
                </c:pt>
                <c:pt idx="778">
                  <c:v>35.606200000000399</c:v>
                </c:pt>
                <c:pt idx="779">
                  <c:v>35.606300000000402</c:v>
                </c:pt>
                <c:pt idx="780">
                  <c:v>35.606400000000406</c:v>
                </c:pt>
                <c:pt idx="781">
                  <c:v>35.606500000000409</c:v>
                </c:pt>
                <c:pt idx="782">
                  <c:v>35.606600000000412</c:v>
                </c:pt>
                <c:pt idx="783">
                  <c:v>35.606700000000416</c:v>
                </c:pt>
                <c:pt idx="784">
                  <c:v>35.606800000000419</c:v>
                </c:pt>
                <c:pt idx="785">
                  <c:v>35.606900000000422</c:v>
                </c:pt>
                <c:pt idx="786">
                  <c:v>35.607000000000426</c:v>
                </c:pt>
                <c:pt idx="787">
                  <c:v>35.607100000000429</c:v>
                </c:pt>
                <c:pt idx="788">
                  <c:v>35.607200000000432</c:v>
                </c:pt>
                <c:pt idx="789">
                  <c:v>35.607300000000436</c:v>
                </c:pt>
                <c:pt idx="790">
                  <c:v>35.607400000000439</c:v>
                </c:pt>
                <c:pt idx="791">
                  <c:v>35.607500000000442</c:v>
                </c:pt>
                <c:pt idx="792">
                  <c:v>35.607600000000446</c:v>
                </c:pt>
                <c:pt idx="793">
                  <c:v>35.607700000000449</c:v>
                </c:pt>
                <c:pt idx="794">
                  <c:v>35.607800000000452</c:v>
                </c:pt>
                <c:pt idx="795">
                  <c:v>35.607900000000456</c:v>
                </c:pt>
                <c:pt idx="796">
                  <c:v>35.608000000000459</c:v>
                </c:pt>
                <c:pt idx="797">
                  <c:v>35.608100000000462</c:v>
                </c:pt>
                <c:pt idx="798">
                  <c:v>35.608200000000465</c:v>
                </c:pt>
                <c:pt idx="799">
                  <c:v>35.608300000000469</c:v>
                </c:pt>
                <c:pt idx="800">
                  <c:v>35.608400000000472</c:v>
                </c:pt>
                <c:pt idx="801">
                  <c:v>35.608500000000475</c:v>
                </c:pt>
                <c:pt idx="802">
                  <c:v>35.608600000000479</c:v>
                </c:pt>
                <c:pt idx="803">
                  <c:v>35.608700000000482</c:v>
                </c:pt>
                <c:pt idx="804">
                  <c:v>35.608800000000485</c:v>
                </c:pt>
                <c:pt idx="805">
                  <c:v>35.608900000000489</c:v>
                </c:pt>
                <c:pt idx="806">
                  <c:v>35.609000000000492</c:v>
                </c:pt>
                <c:pt idx="807">
                  <c:v>35.609100000000495</c:v>
                </c:pt>
                <c:pt idx="808">
                  <c:v>35.609200000000499</c:v>
                </c:pt>
                <c:pt idx="809">
                  <c:v>35.609300000000502</c:v>
                </c:pt>
                <c:pt idx="810">
                  <c:v>35.609400000000505</c:v>
                </c:pt>
                <c:pt idx="811">
                  <c:v>35.609500000000509</c:v>
                </c:pt>
                <c:pt idx="812">
                  <c:v>35.609600000000512</c:v>
                </c:pt>
                <c:pt idx="813">
                  <c:v>35.609700000000515</c:v>
                </c:pt>
                <c:pt idx="814">
                  <c:v>35.609800000000519</c:v>
                </c:pt>
                <c:pt idx="815">
                  <c:v>35.609900000000522</c:v>
                </c:pt>
                <c:pt idx="816">
                  <c:v>35.610000000000525</c:v>
                </c:pt>
                <c:pt idx="817">
                  <c:v>35.610100000000529</c:v>
                </c:pt>
                <c:pt idx="818">
                  <c:v>35.610200000000532</c:v>
                </c:pt>
                <c:pt idx="819">
                  <c:v>35.610300000000535</c:v>
                </c:pt>
                <c:pt idx="820">
                  <c:v>35.610400000000539</c:v>
                </c:pt>
                <c:pt idx="821">
                  <c:v>35.610500000000542</c:v>
                </c:pt>
                <c:pt idx="822">
                  <c:v>35.610600000000545</c:v>
                </c:pt>
                <c:pt idx="823">
                  <c:v>35.610700000000548</c:v>
                </c:pt>
                <c:pt idx="824">
                  <c:v>35.610800000000552</c:v>
                </c:pt>
                <c:pt idx="825">
                  <c:v>35.610900000000555</c:v>
                </c:pt>
                <c:pt idx="826">
                  <c:v>35.611000000000558</c:v>
                </c:pt>
                <c:pt idx="827">
                  <c:v>35.611100000000562</c:v>
                </c:pt>
                <c:pt idx="828">
                  <c:v>35.611200000000565</c:v>
                </c:pt>
                <c:pt idx="829">
                  <c:v>35.611300000000568</c:v>
                </c:pt>
                <c:pt idx="830">
                  <c:v>35.611400000000572</c:v>
                </c:pt>
                <c:pt idx="831">
                  <c:v>35.611500000000575</c:v>
                </c:pt>
                <c:pt idx="832">
                  <c:v>35.611600000000578</c:v>
                </c:pt>
                <c:pt idx="833">
                  <c:v>35.611700000000582</c:v>
                </c:pt>
                <c:pt idx="834">
                  <c:v>35.611800000000585</c:v>
                </c:pt>
                <c:pt idx="835">
                  <c:v>35.611900000000588</c:v>
                </c:pt>
                <c:pt idx="836">
                  <c:v>35.612000000000592</c:v>
                </c:pt>
                <c:pt idx="837">
                  <c:v>35.612100000000595</c:v>
                </c:pt>
                <c:pt idx="838">
                  <c:v>35.612200000000598</c:v>
                </c:pt>
                <c:pt idx="839">
                  <c:v>35.612300000000602</c:v>
                </c:pt>
                <c:pt idx="840">
                  <c:v>35.612400000000605</c:v>
                </c:pt>
                <c:pt idx="841">
                  <c:v>35.612500000000608</c:v>
                </c:pt>
                <c:pt idx="842">
                  <c:v>35.612600000000612</c:v>
                </c:pt>
                <c:pt idx="843">
                  <c:v>35.612700000000615</c:v>
                </c:pt>
                <c:pt idx="844">
                  <c:v>35.612800000000618</c:v>
                </c:pt>
                <c:pt idx="845">
                  <c:v>35.612900000000622</c:v>
                </c:pt>
                <c:pt idx="846">
                  <c:v>35.613000000000625</c:v>
                </c:pt>
                <c:pt idx="847">
                  <c:v>35.613100000000628</c:v>
                </c:pt>
                <c:pt idx="848">
                  <c:v>35.613200000000631</c:v>
                </c:pt>
                <c:pt idx="849">
                  <c:v>35.613300000000635</c:v>
                </c:pt>
                <c:pt idx="850">
                  <c:v>35.613400000000638</c:v>
                </c:pt>
                <c:pt idx="851">
                  <c:v>35.613500000000641</c:v>
                </c:pt>
                <c:pt idx="852">
                  <c:v>35.613600000000645</c:v>
                </c:pt>
                <c:pt idx="853">
                  <c:v>35.613700000000648</c:v>
                </c:pt>
                <c:pt idx="854">
                  <c:v>35.613800000000651</c:v>
                </c:pt>
                <c:pt idx="855">
                  <c:v>35.613900000000655</c:v>
                </c:pt>
                <c:pt idx="856">
                  <c:v>35.614000000000658</c:v>
                </c:pt>
                <c:pt idx="857">
                  <c:v>35.614100000000661</c:v>
                </c:pt>
                <c:pt idx="858">
                  <c:v>35.614200000000665</c:v>
                </c:pt>
                <c:pt idx="859">
                  <c:v>35.614300000000668</c:v>
                </c:pt>
                <c:pt idx="860">
                  <c:v>35.614400000000671</c:v>
                </c:pt>
                <c:pt idx="861">
                  <c:v>35.614500000000675</c:v>
                </c:pt>
                <c:pt idx="862">
                  <c:v>35.614600000000678</c:v>
                </c:pt>
                <c:pt idx="863">
                  <c:v>35.614700000000681</c:v>
                </c:pt>
                <c:pt idx="864">
                  <c:v>35.614800000000685</c:v>
                </c:pt>
                <c:pt idx="865">
                  <c:v>35.614900000000688</c:v>
                </c:pt>
                <c:pt idx="866">
                  <c:v>35.615000000000691</c:v>
                </c:pt>
                <c:pt idx="867">
                  <c:v>35.615100000000695</c:v>
                </c:pt>
                <c:pt idx="868">
                  <c:v>35.615200000000698</c:v>
                </c:pt>
                <c:pt idx="869">
                  <c:v>35.615300000000701</c:v>
                </c:pt>
                <c:pt idx="870">
                  <c:v>35.615400000000704</c:v>
                </c:pt>
                <c:pt idx="871">
                  <c:v>35.615500000000708</c:v>
                </c:pt>
                <c:pt idx="872">
                  <c:v>35.615600000000711</c:v>
                </c:pt>
                <c:pt idx="873">
                  <c:v>35.615700000000714</c:v>
                </c:pt>
                <c:pt idx="874">
                  <c:v>35.615800000000718</c:v>
                </c:pt>
                <c:pt idx="875">
                  <c:v>35.615900000000721</c:v>
                </c:pt>
                <c:pt idx="876">
                  <c:v>35.616000000000724</c:v>
                </c:pt>
                <c:pt idx="877">
                  <c:v>35.616100000000728</c:v>
                </c:pt>
                <c:pt idx="878">
                  <c:v>35.616200000000731</c:v>
                </c:pt>
                <c:pt idx="879">
                  <c:v>35.616300000000734</c:v>
                </c:pt>
                <c:pt idx="880">
                  <c:v>35.616400000000738</c:v>
                </c:pt>
                <c:pt idx="881">
                  <c:v>35.616500000000741</c:v>
                </c:pt>
                <c:pt idx="882">
                  <c:v>35.616600000000744</c:v>
                </c:pt>
                <c:pt idx="883">
                  <c:v>35.616700000000748</c:v>
                </c:pt>
                <c:pt idx="884">
                  <c:v>35.616800000000751</c:v>
                </c:pt>
                <c:pt idx="885">
                  <c:v>35.616900000000754</c:v>
                </c:pt>
                <c:pt idx="886">
                  <c:v>35.617000000000758</c:v>
                </c:pt>
                <c:pt idx="887">
                  <c:v>35.617100000000761</c:v>
                </c:pt>
                <c:pt idx="888">
                  <c:v>35.617200000000764</c:v>
                </c:pt>
                <c:pt idx="889">
                  <c:v>35.617300000000768</c:v>
                </c:pt>
                <c:pt idx="890">
                  <c:v>35.617400000000771</c:v>
                </c:pt>
                <c:pt idx="891">
                  <c:v>35.617500000000774</c:v>
                </c:pt>
                <c:pt idx="892">
                  <c:v>35.617600000000778</c:v>
                </c:pt>
                <c:pt idx="893">
                  <c:v>35.617700000000781</c:v>
                </c:pt>
                <c:pt idx="894">
                  <c:v>35.617800000000784</c:v>
                </c:pt>
                <c:pt idx="895">
                  <c:v>35.617900000000787</c:v>
                </c:pt>
                <c:pt idx="896">
                  <c:v>35.618000000000791</c:v>
                </c:pt>
                <c:pt idx="897">
                  <c:v>35.618100000000794</c:v>
                </c:pt>
                <c:pt idx="898">
                  <c:v>35.618200000000797</c:v>
                </c:pt>
                <c:pt idx="899">
                  <c:v>35.618300000000801</c:v>
                </c:pt>
                <c:pt idx="900">
                  <c:v>35.618400000000804</c:v>
                </c:pt>
                <c:pt idx="901">
                  <c:v>35.618500000000807</c:v>
                </c:pt>
                <c:pt idx="902">
                  <c:v>35.618600000000811</c:v>
                </c:pt>
                <c:pt idx="903">
                  <c:v>35.618700000000814</c:v>
                </c:pt>
                <c:pt idx="904">
                  <c:v>35.618800000000817</c:v>
                </c:pt>
                <c:pt idx="905">
                  <c:v>35.618900000000821</c:v>
                </c:pt>
                <c:pt idx="906">
                  <c:v>35.619000000000824</c:v>
                </c:pt>
                <c:pt idx="907">
                  <c:v>35.619100000000827</c:v>
                </c:pt>
                <c:pt idx="908">
                  <c:v>35.619200000000831</c:v>
                </c:pt>
                <c:pt idx="909">
                  <c:v>35.619300000000834</c:v>
                </c:pt>
                <c:pt idx="910">
                  <c:v>35.619400000000837</c:v>
                </c:pt>
                <c:pt idx="911">
                  <c:v>35.619500000000841</c:v>
                </c:pt>
                <c:pt idx="912">
                  <c:v>35.619600000000844</c:v>
                </c:pt>
                <c:pt idx="913">
                  <c:v>35.619700000000847</c:v>
                </c:pt>
                <c:pt idx="914">
                  <c:v>35.619800000000851</c:v>
                </c:pt>
                <c:pt idx="915">
                  <c:v>35.619900000000854</c:v>
                </c:pt>
                <c:pt idx="916">
                  <c:v>35.620000000000857</c:v>
                </c:pt>
                <c:pt idx="917">
                  <c:v>35.620100000000861</c:v>
                </c:pt>
                <c:pt idx="918">
                  <c:v>35.620200000000864</c:v>
                </c:pt>
                <c:pt idx="919">
                  <c:v>35.620300000000867</c:v>
                </c:pt>
                <c:pt idx="920">
                  <c:v>35.62040000000087</c:v>
                </c:pt>
                <c:pt idx="921">
                  <c:v>35.620500000000874</c:v>
                </c:pt>
                <c:pt idx="922">
                  <c:v>35.620600000000877</c:v>
                </c:pt>
                <c:pt idx="923">
                  <c:v>35.62070000000088</c:v>
                </c:pt>
                <c:pt idx="924">
                  <c:v>35.620800000000884</c:v>
                </c:pt>
                <c:pt idx="925">
                  <c:v>35.620900000000887</c:v>
                </c:pt>
                <c:pt idx="926">
                  <c:v>35.62100000000089</c:v>
                </c:pt>
                <c:pt idx="927">
                  <c:v>35.621100000000894</c:v>
                </c:pt>
                <c:pt idx="928">
                  <c:v>35.621200000000897</c:v>
                </c:pt>
                <c:pt idx="929">
                  <c:v>35.6213000000009</c:v>
                </c:pt>
                <c:pt idx="930">
                  <c:v>35.621400000000904</c:v>
                </c:pt>
                <c:pt idx="931">
                  <c:v>35.621500000000907</c:v>
                </c:pt>
                <c:pt idx="932">
                  <c:v>35.62160000000091</c:v>
                </c:pt>
                <c:pt idx="933">
                  <c:v>35.621700000000914</c:v>
                </c:pt>
                <c:pt idx="934">
                  <c:v>35.621800000000917</c:v>
                </c:pt>
                <c:pt idx="935">
                  <c:v>35.62190000000092</c:v>
                </c:pt>
                <c:pt idx="936">
                  <c:v>35.622000000000924</c:v>
                </c:pt>
                <c:pt idx="937">
                  <c:v>35.622100000000927</c:v>
                </c:pt>
                <c:pt idx="938">
                  <c:v>35.62220000000093</c:v>
                </c:pt>
                <c:pt idx="939">
                  <c:v>35.622300000000934</c:v>
                </c:pt>
                <c:pt idx="940">
                  <c:v>35.622400000000937</c:v>
                </c:pt>
                <c:pt idx="941">
                  <c:v>35.62250000000094</c:v>
                </c:pt>
                <c:pt idx="942">
                  <c:v>35.622600000000944</c:v>
                </c:pt>
                <c:pt idx="943">
                  <c:v>35.622700000000947</c:v>
                </c:pt>
                <c:pt idx="944">
                  <c:v>35.62280000000095</c:v>
                </c:pt>
                <c:pt idx="945">
                  <c:v>35.622900000000953</c:v>
                </c:pt>
                <c:pt idx="946">
                  <c:v>35.623000000000957</c:v>
                </c:pt>
                <c:pt idx="947">
                  <c:v>35.62310000000096</c:v>
                </c:pt>
                <c:pt idx="948">
                  <c:v>35.623200000000963</c:v>
                </c:pt>
                <c:pt idx="949">
                  <c:v>35.623300000000967</c:v>
                </c:pt>
                <c:pt idx="950">
                  <c:v>35.62340000000097</c:v>
                </c:pt>
                <c:pt idx="951">
                  <c:v>35.623500000000973</c:v>
                </c:pt>
                <c:pt idx="952">
                  <c:v>35.623600000000977</c:v>
                </c:pt>
                <c:pt idx="953">
                  <c:v>35.62370000000098</c:v>
                </c:pt>
                <c:pt idx="954">
                  <c:v>35.623800000000983</c:v>
                </c:pt>
                <c:pt idx="955">
                  <c:v>35.623900000000987</c:v>
                </c:pt>
                <c:pt idx="956">
                  <c:v>35.62400000000099</c:v>
                </c:pt>
                <c:pt idx="957">
                  <c:v>35.624100000000993</c:v>
                </c:pt>
                <c:pt idx="958">
                  <c:v>35.624200000000997</c:v>
                </c:pt>
                <c:pt idx="959">
                  <c:v>35.624300000001</c:v>
                </c:pt>
                <c:pt idx="960">
                  <c:v>35.624400000001003</c:v>
                </c:pt>
                <c:pt idx="961">
                  <c:v>35.624500000001007</c:v>
                </c:pt>
                <c:pt idx="962">
                  <c:v>35.62460000000101</c:v>
                </c:pt>
                <c:pt idx="963">
                  <c:v>35.624700000001013</c:v>
                </c:pt>
                <c:pt idx="964">
                  <c:v>35.624800000001017</c:v>
                </c:pt>
                <c:pt idx="965">
                  <c:v>35.62490000000102</c:v>
                </c:pt>
                <c:pt idx="966">
                  <c:v>35.625000000001023</c:v>
                </c:pt>
                <c:pt idx="967">
                  <c:v>35.625100000001027</c:v>
                </c:pt>
                <c:pt idx="968">
                  <c:v>35.62520000000103</c:v>
                </c:pt>
                <c:pt idx="969">
                  <c:v>35.625300000001033</c:v>
                </c:pt>
                <c:pt idx="970">
                  <c:v>35.625400000001036</c:v>
                </c:pt>
                <c:pt idx="971">
                  <c:v>35.62550000000104</c:v>
                </c:pt>
                <c:pt idx="972">
                  <c:v>35.625600000001043</c:v>
                </c:pt>
                <c:pt idx="973">
                  <c:v>35.625700000001046</c:v>
                </c:pt>
                <c:pt idx="974">
                  <c:v>35.62580000000105</c:v>
                </c:pt>
                <c:pt idx="975">
                  <c:v>35.625900000001053</c:v>
                </c:pt>
                <c:pt idx="976">
                  <c:v>35.626000000001056</c:v>
                </c:pt>
                <c:pt idx="977">
                  <c:v>35.62610000000106</c:v>
                </c:pt>
                <c:pt idx="978">
                  <c:v>35.626200000001063</c:v>
                </c:pt>
                <c:pt idx="979">
                  <c:v>35.626300000001066</c:v>
                </c:pt>
                <c:pt idx="980">
                  <c:v>35.62640000000107</c:v>
                </c:pt>
                <c:pt idx="981">
                  <c:v>35.626500000001073</c:v>
                </c:pt>
                <c:pt idx="982">
                  <c:v>35.626600000001076</c:v>
                </c:pt>
                <c:pt idx="983">
                  <c:v>35.62670000000108</c:v>
                </c:pt>
                <c:pt idx="984">
                  <c:v>35.626800000001083</c:v>
                </c:pt>
                <c:pt idx="985">
                  <c:v>35.626900000001086</c:v>
                </c:pt>
                <c:pt idx="986">
                  <c:v>35.62700000000109</c:v>
                </c:pt>
                <c:pt idx="987">
                  <c:v>35.627100000001093</c:v>
                </c:pt>
                <c:pt idx="988">
                  <c:v>35.627200000001096</c:v>
                </c:pt>
                <c:pt idx="989">
                  <c:v>35.6273000000011</c:v>
                </c:pt>
                <c:pt idx="990">
                  <c:v>35.627400000001103</c:v>
                </c:pt>
                <c:pt idx="991">
                  <c:v>35.627500000001106</c:v>
                </c:pt>
                <c:pt idx="992">
                  <c:v>35.627600000001109</c:v>
                </c:pt>
                <c:pt idx="993">
                  <c:v>35.627700000001113</c:v>
                </c:pt>
                <c:pt idx="994">
                  <c:v>35.627800000001116</c:v>
                </c:pt>
                <c:pt idx="995">
                  <c:v>35.627900000001119</c:v>
                </c:pt>
                <c:pt idx="996">
                  <c:v>35.628000000001123</c:v>
                </c:pt>
                <c:pt idx="997">
                  <c:v>35.628100000001126</c:v>
                </c:pt>
                <c:pt idx="998">
                  <c:v>35.628200000001129</c:v>
                </c:pt>
                <c:pt idx="999">
                  <c:v>35.628300000001133</c:v>
                </c:pt>
                <c:pt idx="1000">
                  <c:v>35.628400000001136</c:v>
                </c:pt>
              </c:numCache>
            </c:numRef>
          </c:xVal>
          <c:yVal>
            <c:numRef>
              <c:f>Calculs!$K$4:$K$1004</c:f>
              <c:numCache>
                <c:formatCode>0.00</c:formatCode>
                <c:ptCount val="1001"/>
                <c:pt idx="0">
                  <c:v>0</c:v>
                </c:pt>
                <c:pt idx="1">
                  <c:v>0</c:v>
                </c:pt>
                <c:pt idx="2">
                  <c:v>8.8659929951468331E-4</c:v>
                </c:pt>
                <c:pt idx="3">
                  <c:v>4.4551282218210728E-3</c:v>
                </c:pt>
                <c:pt idx="4">
                  <c:v>1.252376084757101E-2</c:v>
                </c:pt>
                <c:pt idx="5">
                  <c:v>2.6912343102871397E-2</c:v>
                </c:pt>
                <c:pt idx="6">
                  <c:v>4.8982521190609973E-2</c:v>
                </c:pt>
                <c:pt idx="7">
                  <c:v>7.9176829171388755E-2</c:v>
                </c:pt>
                <c:pt idx="8">
                  <c:v>0.11747781638166428</c:v>
                </c:pt>
                <c:pt idx="9">
                  <c:v>0.16386796803219167</c:v>
                </c:pt>
                <c:pt idx="10">
                  <c:v>0.21832970542708824</c:v>
                </c:pt>
                <c:pt idx="11">
                  <c:v>0.28084538618456867</c:v>
                </c:pt>
                <c:pt idx="12">
                  <c:v>0.35139730445933887</c:v>
                </c:pt>
                <c:pt idx="13">
                  <c:v>0.42996769116663514</c:v>
                </c:pt>
                <c:pt idx="14">
                  <c:v>0.51653871420789566</c:v>
                </c:pt>
                <c:pt idx="15">
                  <c:v>0.6110924786980505</c:v>
                </c:pt>
                <c:pt idx="16">
                  <c:v>0.71361102719441705</c:v>
                </c:pt>
                <c:pt idx="17">
                  <c:v>0.82407633992718732</c:v>
                </c:pt>
                <c:pt idx="18">
                  <c:v>0.94247033503149291</c:v>
                </c:pt>
                <c:pt idx="19">
                  <c:v>1.0687748687810346</c:v>
                </c:pt>
                <c:pt idx="20">
                  <c:v>1.2029717358232617</c:v>
                </c:pt>
                <c:pt idx="21">
                  <c:v>1.3450426694160895</c:v>
                </c:pt>
                <c:pt idx="22">
                  <c:v>1.4949693416661369</c:v>
                </c:pt>
                <c:pt idx="23">
                  <c:v>1.6527333637684745</c:v>
                </c:pt>
                <c:pt idx="24">
                  <c:v>1.8183162862478643</c:v>
                </c:pt>
                <c:pt idx="25">
                  <c:v>1.9916995992014821</c:v>
                </c:pt>
                <c:pt idx="26">
                  <c:v>2.1728647325431032</c:v>
                </c:pt>
                <c:pt idx="27">
                  <c:v>2.361793056248739</c:v>
                </c:pt>
                <c:pt idx="28">
                  <c:v>2.5584658806037122</c:v>
                </c:pt>
                <c:pt idx="29">
                  <c:v>2.7628644564511502</c:v>
                </c:pt>
                <c:pt idx="30">
                  <c:v>2.9749699754418892</c:v>
                </c:pt>
                <c:pt idx="31">
                  <c:v>3.1947635702857671</c:v>
                </c:pt>
                <c:pt idx="32">
                  <c:v>3.4222263150042971</c:v>
                </c:pt>
                <c:pt idx="33">
                  <c:v>3.657339225184701</c:v>
                </c:pt>
                <c:pt idx="34">
                  <c:v>3.9000832582352913</c:v>
                </c:pt>
                <c:pt idx="35">
                  <c:v>4.1504393136421855</c:v>
                </c:pt>
                <c:pt idx="36">
                  <c:v>4.408373436395542</c:v>
                </c:pt>
                <c:pt idx="37">
                  <c:v>4.6738511390822293</c:v>
                </c:pt>
                <c:pt idx="38">
                  <c:v>4.9468522042620924</c:v>
                </c:pt>
                <c:pt idx="39">
                  <c:v>5.2273563746255851</c:v>
                </c:pt>
                <c:pt idx="40">
                  <c:v>5.5153433591705081</c:v>
                </c:pt>
                <c:pt idx="41">
                  <c:v>5.8107928324423543</c:v>
                </c:pt>
                <c:pt idx="42">
                  <c:v>6.1136844338504801</c:v>
                </c:pt>
                <c:pt idx="43">
                  <c:v>6.4239977670528514</c:v>
                </c:pt>
                <c:pt idx="44">
                  <c:v>6.7417123994029753</c:v>
                </c:pt>
                <c:pt idx="45">
                  <c:v>7.0668078614533849</c:v>
                </c:pt>
                <c:pt idx="46">
                  <c:v>7.3992636465106711</c:v>
                </c:pt>
                <c:pt idx="47">
                  <c:v>7.7390592102376212</c:v>
                </c:pt>
                <c:pt idx="48">
                  <c:v>8.0861739702985052</c:v>
                </c:pt>
                <c:pt idx="49">
                  <c:v>8.4405873060439625</c:v>
                </c:pt>
                <c:pt idx="50">
                  <c:v>8.8022785582323149</c:v>
                </c:pt>
                <c:pt idx="51">
                  <c:v>9.1712294446431297</c:v>
                </c:pt>
                <c:pt idx="52">
                  <c:v>9.5474264786206469</c:v>
                </c:pt>
                <c:pt idx="53">
                  <c:v>9.9308585571787109</c:v>
                </c:pt>
                <c:pt idx="54">
                  <c:v>10.321514546175811</c:v>
                </c:pt>
                <c:pt idx="55">
                  <c:v>10.719383280064211</c:v>
                </c:pt>
                <c:pt idx="56">
                  <c:v>11.124453561659102</c:v>
                </c:pt>
                <c:pt idx="57">
                  <c:v>11.536714161926477</c:v>
                </c:pt>
                <c:pt idx="58">
                  <c:v>11.956153819788485</c:v>
                </c:pt>
                <c:pt idx="59">
                  <c:v>12.38276124194517</c:v>
                </c:pt>
                <c:pt idx="60">
                  <c:v>12.816525102711584</c:v>
                </c:pt>
                <c:pt idx="61">
                  <c:v>13.25743404386931</c:v>
                </c:pt>
                <c:pt idx="62">
                  <c:v>13.705476674531562</c:v>
                </c:pt>
                <c:pt idx="63">
                  <c:v>14.160641571021051</c:v>
                </c:pt>
                <c:pt idx="64">
                  <c:v>14.622917276759887</c:v>
                </c:pt>
                <c:pt idx="65">
                  <c:v>15.092292302170847</c:v>
                </c:pt>
                <c:pt idx="66">
                  <c:v>15.568755124589369</c:v>
                </c:pt>
                <c:pt idx="67">
                  <c:v>16.052294188185709</c:v>
                </c:pt>
                <c:pt idx="68">
                  <c:v>16.542897903896698</c:v>
                </c:pt>
                <c:pt idx="69">
                  <c:v>17.04055464936663</c:v>
                </c:pt>
                <c:pt idx="70">
                  <c:v>17.545252768896773</c:v>
                </c:pt>
                <c:pt idx="71">
                  <c:v>18.056980573403123</c:v>
                </c:pt>
                <c:pt idx="72">
                  <c:v>18.575726340381934</c:v>
                </c:pt>
                <c:pt idx="73">
                  <c:v>19.101478313882705</c:v>
                </c:pt>
                <c:pt idx="74">
                  <c:v>19.634224704488243</c:v>
                </c:pt>
                <c:pt idx="75">
                  <c:v>20.173953689301449</c:v>
                </c:pt>
                <c:pt idx="76">
                  <c:v>20.720653411938581</c:v>
                </c:pt>
                <c:pt idx="77">
                  <c:v>21.274311982528634</c:v>
                </c:pt>
                <c:pt idx="78">
                  <c:v>21.834917477718612</c:v>
                </c:pt>
                <c:pt idx="79">
                  <c:v>22.402457940684428</c:v>
                </c:pt>
                <c:pt idx="80">
                  <c:v>22.976921381147175</c:v>
                </c:pt>
                <c:pt idx="81">
                  <c:v>23.558295775394551</c:v>
                </c:pt>
                <c:pt idx="82">
                  <c:v>24.146569066307247</c:v>
                </c:pt>
                <c:pt idx="83">
                  <c:v>24.741729163390048</c:v>
                </c:pt>
                <c:pt idx="84">
                  <c:v>25.343763942807509</c:v>
                </c:pt>
                <c:pt idx="85">
                  <c:v>25.952661247424011</c:v>
                </c:pt>
                <c:pt idx="86">
                  <c:v>26.56840888684799</c:v>
                </c:pt>
                <c:pt idx="87">
                  <c:v>27.190994637480255</c:v>
                </c:pt>
                <c:pt idx="88">
                  <c:v>27.820406242566154</c:v>
                </c:pt>
                <c:pt idx="89">
                  <c:v>28.456631412251536</c:v>
                </c:pt>
                <c:pt idx="90">
                  <c:v>29.099657823642289</c:v>
                </c:pt>
                <c:pt idx="91">
                  <c:v>29.749473120867389</c:v>
                </c:pt>
                <c:pt idx="92">
                  <c:v>30.406064915145301</c:v>
                </c:pt>
                <c:pt idx="93">
                  <c:v>31.069420784853619</c:v>
                </c:pt>
                <c:pt idx="94">
                  <c:v>31.739528275601867</c:v>
                </c:pt>
                <c:pt idx="95">
                  <c:v>32.416374900307289</c:v>
                </c:pt>
                <c:pt idx="96">
                  <c:v>33.099948139273614</c:v>
                </c:pt>
                <c:pt idx="97">
                  <c:v>33.790235440272603</c:v>
                </c:pt>
                <c:pt idx="98">
                  <c:v>34.487224218628398</c:v>
                </c:pt>
                <c:pt idx="99">
                  <c:v>35.190901857304453</c:v>
                </c:pt>
                <c:pt idx="100">
                  <c:v>35.901255706993105</c:v>
                </c:pt>
                <c:pt idx="101">
                  <c:v>36.618271977656789</c:v>
                </c:pt>
                <c:pt idx="102">
                  <c:v>37.341934628980148</c:v>
                </c:pt>
                <c:pt idx="103">
                  <c:v>38.072226477618543</c:v>
                </c:pt>
                <c:pt idx="104">
                  <c:v>38.809130305572602</c:v>
                </c:pt>
                <c:pt idx="105">
                  <c:v>39.552628860354062</c:v>
                </c:pt>
                <c:pt idx="106">
                  <c:v>40.302704855153841</c:v>
                </c:pt>
                <c:pt idx="107">
                  <c:v>41.059340969012339</c:v>
                </c:pt>
                <c:pt idx="108">
                  <c:v>41.822519846991852</c:v>
                </c:pt>
                <c:pt idx="109">
                  <c:v>42.592224100351054</c:v>
                </c:pt>
                <c:pt idx="110">
                  <c:v>43.368436306721478</c:v>
                </c:pt>
                <c:pt idx="111">
                  <c:v>44.15113901028591</c:v>
                </c:pt>
                <c:pt idx="112">
                  <c:v>44.94031472195865</c:v>
                </c:pt>
                <c:pt idx="113">
                  <c:v>45.735945919567605</c:v>
                </c:pt>
                <c:pt idx="114">
                  <c:v>46.538015048038091</c:v>
                </c:pt>
                <c:pt idx="115">
                  <c:v>47.346504519578353</c:v>
                </c:pt>
                <c:pt idx="116">
                  <c:v>48.161396713866722</c:v>
                </c:pt>
                <c:pt idx="117">
                  <c:v>48.982673978240364</c:v>
                </c:pt>
                <c:pt idx="118">
                  <c:v>49.810318627885536</c:v>
                </c:pt>
                <c:pt idx="119">
                  <c:v>50.644312946029373</c:v>
                </c:pt>
                <c:pt idx="120">
                  <c:v>51.484639184133087</c:v>
                </c:pt>
                <c:pt idx="121">
                  <c:v>52.331279562086578</c:v>
                </c:pt>
                <c:pt idx="122">
                  <c:v>53.184216268404384</c:v>
                </c:pt>
                <c:pt idx="123">
                  <c:v>54.043431460422944</c:v>
                </c:pt>
                <c:pt idx="124">
                  <c:v>54.908907264499128</c:v>
                </c:pt>
                <c:pt idx="125">
                  <c:v>55.780625776209995</c:v>
                </c:pt>
                <c:pt idx="126">
                  <c:v>56.658569060553738</c:v>
                </c:pt>
                <c:pt idx="127">
                  <c:v>57.54271915215179</c:v>
                </c:pt>
                <c:pt idx="128">
                  <c:v>58.433058055452001</c:v>
                </c:pt>
                <c:pt idx="129">
                  <c:v>59.329567744932952</c:v>
                </c:pt>
                <c:pt idx="130">
                  <c:v>60.232230165309247</c:v>
                </c:pt>
                <c:pt idx="131">
                  <c:v>61.141027231737873</c:v>
                </c:pt>
                <c:pt idx="132">
                  <c:v>62.05594083002547</c:v>
                </c:pt>
                <c:pt idx="133">
                  <c:v>62.976952816836601</c:v>
                </c:pt>
                <c:pt idx="134">
                  <c:v>63.904045019902888</c:v>
                </c:pt>
                <c:pt idx="135">
                  <c:v>64.83719923823304</c:v>
                </c:pt>
                <c:pt idx="136">
                  <c:v>65.776397242323739</c:v>
                </c:pt>
                <c:pt idx="137">
                  <c:v>66.721620774371331</c:v>
                </c:pt>
                <c:pt idx="138">
                  <c:v>67.672851548484317</c:v>
                </c:pt>
                <c:pt idx="139">
                  <c:v>68.630071250896577</c:v>
                </c:pt>
                <c:pt idx="140">
                  <c:v>69.593261540181359</c:v>
                </c:pt>
                <c:pt idx="141">
                  <c:v>70.562404047465989</c:v>
                </c:pt>
                <c:pt idx="142">
                  <c:v>71.53748037664721</c:v>
                </c:pt>
                <c:pt idx="143">
                  <c:v>72.518472104607213</c:v>
                </c:pt>
                <c:pt idx="144">
                  <c:v>73.505360781430269</c:v>
                </c:pt>
                <c:pt idx="145">
                  <c:v>74.498127930620001</c:v>
                </c:pt>
                <c:pt idx="146">
                  <c:v>75.496755049317201</c:v>
                </c:pt>
                <c:pt idx="147">
                  <c:v>76.501223608518259</c:v>
                </c:pt>
                <c:pt idx="148">
                  <c:v>77.511515053294033</c:v>
                </c:pt>
                <c:pt idx="149">
                  <c:v>78.52761080300931</c:v>
                </c:pt>
                <c:pt idx="150">
                  <c:v>79.549492251542716</c:v>
                </c:pt>
                <c:pt idx="151">
                  <c:v>80.577141143215641</c:v>
                </c:pt>
                <c:pt idx="152">
                  <c:v>81.610539948971692</c:v>
                </c:pt>
                <c:pt idx="153">
                  <c:v>82.649671491142087</c:v>
                </c:pt>
                <c:pt idx="154">
                  <c:v>83.694518567950325</c:v>
                </c:pt>
                <c:pt idx="155">
                  <c:v>84.74506395371192</c:v>
                </c:pt>
                <c:pt idx="156">
                  <c:v>85.801290399034514</c:v>
                </c:pt>
                <c:pt idx="157">
                  <c:v>86.863180631018466</c:v>
                </c:pt>
                <c:pt idx="158">
                  <c:v>87.930717353457709</c:v>
                </c:pt>
                <c:pt idx="159">
                  <c:v>89.003883247041045</c:v>
                </c:pt>
                <c:pt idx="160">
                  <c:v>90.082660969553714</c:v>
                </c:pt>
                <c:pt idx="161">
                  <c:v>91.167033156079356</c:v>
                </c:pt>
                <c:pt idx="162">
                  <c:v>92.25698241920216</c:v>
                </c:pt>
                <c:pt idx="163">
                  <c:v>93.352491349209444</c:v>
                </c:pt>
                <c:pt idx="164">
                  <c:v>94.453542514294384</c:v>
                </c:pt>
                <c:pt idx="165">
                  <c:v>95.560118460759085</c:v>
                </c:pt>
                <c:pt idx="166">
                  <c:v>96.672201713217802</c:v>
                </c:pt>
                <c:pt idx="167">
                  <c:v>97.789774774800492</c:v>
                </c:pt>
                <c:pt idx="168">
                  <c:v>98.912820127356468</c:v>
                </c:pt>
                <c:pt idx="169">
                  <c:v>100.04132023165833</c:v>
                </c:pt>
                <c:pt idx="170">
                  <c:v>101.17525752760604</c:v>
                </c:pt>
                <c:pt idx="171">
                  <c:v>102.31461443443112</c:v>
                </c:pt>
                <c:pt idx="172">
                  <c:v>103.45937335090112</c:v>
                </c:pt>
                <c:pt idx="173">
                  <c:v>104.60951665552405</c:v>
                </c:pt>
                <c:pt idx="174">
                  <c:v>105.76502670675308</c:v>
                </c:pt>
                <c:pt idx="175">
                  <c:v>106.92588584319128</c:v>
                </c:pt>
                <c:pt idx="176">
                  <c:v>108.09207638379648</c:v>
                </c:pt>
                <c:pt idx="177">
                  <c:v>109.26358062808617</c:v>
                </c:pt>
                <c:pt idx="178">
                  <c:v>110.44038085634251</c:v>
                </c:pt>
                <c:pt idx="179">
                  <c:v>111.62245932981739</c:v>
                </c:pt>
                <c:pt idx="180">
                  <c:v>112.80979829093748</c:v>
                </c:pt>
                <c:pt idx="181">
                  <c:v>114.00237996350937</c:v>
                </c:pt>
                <c:pt idx="182">
                  <c:v>115.20018655292471</c:v>
                </c:pt>
                <c:pt idx="183">
                  <c:v>116.4032002463653</c:v>
                </c:pt>
                <c:pt idx="184">
                  <c:v>117.61140321300827</c:v>
                </c:pt>
                <c:pt idx="185">
                  <c:v>118.82477760423113</c:v>
                </c:pt>
                <c:pt idx="186">
                  <c:v>120.04330555381686</c:v>
                </c:pt>
                <c:pt idx="187">
                  <c:v>121.26696917815894</c:v>
                </c:pt>
                <c:pt idx="188">
                  <c:v>122.49575057646628</c:v>
                </c:pt>
                <c:pt idx="189">
                  <c:v>123.72963183096813</c:v>
                </c:pt>
                <c:pt idx="190">
                  <c:v>124.96859500711891</c:v>
                </c:pt>
                <c:pt idx="191">
                  <c:v>126.21262215380287</c:v>
                </c:pt>
                <c:pt idx="192">
                  <c:v>127.46169530353878</c:v>
                </c:pt>
                <c:pt idx="193">
                  <c:v>128.71579647268433</c:v>
                </c:pt>
                <c:pt idx="194">
                  <c:v>129.97490766164066</c:v>
                </c:pt>
                <c:pt idx="195">
                  <c:v>131.23901085505636</c:v>
                </c:pt>
                <c:pt idx="196">
                  <c:v>132.50808802203181</c:v>
                </c:pt>
                <c:pt idx="197">
                  <c:v>133.78212111632291</c:v>
                </c:pt>
                <c:pt idx="198">
                  <c:v>135.06109207654495</c:v>
                </c:pt>
                <c:pt idx="199">
                  <c:v>136.34498282637617</c:v>
                </c:pt>
                <c:pt idx="200">
                  <c:v>137.63377527476106</c:v>
                </c:pt>
                <c:pt idx="201">
                  <c:v>138.92745131611372</c:v>
                </c:pt>
                <c:pt idx="202">
                  <c:v>140.22599283052065</c:v>
                </c:pt>
                <c:pt idx="203">
                  <c:v>141.52938168394365</c:v>
                </c:pt>
                <c:pt idx="204">
                  <c:v>142.8375997284223</c:v>
                </c:pt>
                <c:pt idx="205">
                  <c:v>144.1506288022762</c:v>
                </c:pt>
                <c:pt idx="206">
                  <c:v>145.46845073030707</c:v>
                </c:pt>
                <c:pt idx="207">
                  <c:v>146.79104732400052</c:v>
                </c:pt>
                <c:pt idx="208">
                  <c:v>148.1184003817275</c:v>
                </c:pt>
                <c:pt idx="209">
                  <c:v>149.45049168894562</c:v>
                </c:pt>
                <c:pt idx="210">
                  <c:v>150.78730301840002</c:v>
                </c:pt>
                <c:pt idx="211">
                  <c:v>152.12881613032408</c:v>
                </c:pt>
                <c:pt idx="212">
                  <c:v>153.4750127726397</c:v>
                </c:pt>
                <c:pt idx="213">
                  <c:v>154.82587468115739</c:v>
                </c:pt>
                <c:pt idx="214">
                  <c:v>156.18138357977588</c:v>
                </c:pt>
                <c:pt idx="215">
                  <c:v>157.5415211806816</c:v>
                </c:pt>
                <c:pt idx="216">
                  <c:v>158.90626918454765</c:v>
                </c:pt>
                <c:pt idx="217">
                  <c:v>160.27560928073251</c:v>
                </c:pt>
                <c:pt idx="218">
                  <c:v>161.64952314747833</c:v>
                </c:pt>
                <c:pt idx="219">
                  <c:v>163.02799245210889</c:v>
                </c:pt>
                <c:pt idx="220">
                  <c:v>164.41099885122722</c:v>
                </c:pt>
                <c:pt idx="221">
                  <c:v>165.79852399091274</c:v>
                </c:pt>
                <c:pt idx="222">
                  <c:v>167.19054950691816</c:v>
                </c:pt>
                <c:pt idx="223">
                  <c:v>168.5870570248658</c:v>
                </c:pt>
                <c:pt idx="224">
                  <c:v>169.98802816044363</c:v>
                </c:pt>
                <c:pt idx="225">
                  <c:v>171.39344451960088</c:v>
                </c:pt>
                <c:pt idx="226">
                  <c:v>172.80328769874316</c:v>
                </c:pt>
                <c:pt idx="227">
                  <c:v>174.21753928492726</c:v>
                </c:pt>
                <c:pt idx="228">
                  <c:v>175.63618085605532</c:v>
                </c:pt>
                <c:pt idx="229">
                  <c:v>177.05919398106889</c:v>
                </c:pt>
                <c:pt idx="230">
                  <c:v>178.48656022014211</c:v>
                </c:pt>
                <c:pt idx="231">
                  <c:v>179.91826112487485</c:v>
                </c:pt>
                <c:pt idx="232">
                  <c:v>181.35427823848499</c:v>
                </c:pt>
                <c:pt idx="233">
                  <c:v>182.79459309600063</c:v>
                </c:pt>
                <c:pt idx="234">
                  <c:v>184.2391872244514</c:v>
                </c:pt>
                <c:pt idx="235">
                  <c:v>185.68804214305965</c:v>
                </c:pt>
                <c:pt idx="236">
                  <c:v>187.14113936343088</c:v>
                </c:pt>
                <c:pt idx="237">
                  <c:v>188.59846038974388</c:v>
                </c:pt>
                <c:pt idx="238">
                  <c:v>190.05998671894011</c:v>
                </c:pt>
                <c:pt idx="239">
                  <c:v>191.52569984091289</c:v>
                </c:pt>
                <c:pt idx="240">
                  <c:v>192.99558123869571</c:v>
                </c:pt>
                <c:pt idx="241">
                  <c:v>194.46961238865032</c:v>
                </c:pt>
                <c:pt idx="242">
                  <c:v>195.94777476065411</c:v>
                </c:pt>
                <c:pt idx="243">
                  <c:v>197.43004981828696</c:v>
                </c:pt>
                <c:pt idx="244">
                  <c:v>198.91641901901761</c:v>
                </c:pt>
                <c:pt idx="245">
                  <c:v>200.40686381438945</c:v>
                </c:pt>
                <c:pt idx="246">
                  <c:v>201.90136565020575</c:v>
                </c:pt>
                <c:pt idx="247">
                  <c:v>203.39990596671424</c:v>
                </c:pt>
                <c:pt idx="248">
                  <c:v>204.90246619879136</c:v>
                </c:pt>
                <c:pt idx="249">
                  <c:v>206.40902777612555</c:v>
                </c:pt>
                <c:pt idx="250">
                  <c:v>207.9195721234004</c:v>
                </c:pt>
                <c:pt idx="251">
                  <c:v>209.43407905116553</c:v>
                </c:pt>
                <c:pt idx="252">
                  <c:v>210.95252514660507</c:v>
                </c:pt>
                <c:pt idx="253">
                  <c:v>212.47488538368131</c:v>
                </c:pt>
                <c:pt idx="254">
                  <c:v>214.00113473342174</c:v>
                </c:pt>
                <c:pt idx="255">
                  <c:v>215.53124816418278</c:v>
                </c:pt>
                <c:pt idx="256">
                  <c:v>217.06520064191238</c:v>
                </c:pt>
                <c:pt idx="257">
                  <c:v>218.60296713041126</c:v>
                </c:pt>
                <c:pt idx="258">
                  <c:v>220.14452259159319</c:v>
                </c:pt>
                <c:pt idx="259">
                  <c:v>221.68984198574395</c:v>
                </c:pt>
                <c:pt idx="260">
                  <c:v>223.23890027177916</c:v>
                </c:pt>
                <c:pt idx="261">
                  <c:v>224.7916724075009</c:v>
                </c:pt>
                <c:pt idx="262">
                  <c:v>226.34813334985307</c:v>
                </c:pt>
                <c:pt idx="263">
                  <c:v>227.90825805517559</c:v>
                </c:pt>
                <c:pt idx="264">
                  <c:v>229.4720214794574</c:v>
                </c:pt>
                <c:pt idx="265">
                  <c:v>231.03939857858811</c:v>
                </c:pt>
                <c:pt idx="266">
                  <c:v>232.61036430860852</c:v>
                </c:pt>
                <c:pt idx="267">
                  <c:v>234.18489362595994</c:v>
                </c:pt>
                <c:pt idx="268">
                  <c:v>235.76296148773207</c:v>
                </c:pt>
                <c:pt idx="269">
                  <c:v>237.34454285190984</c:v>
                </c:pt>
                <c:pt idx="270">
                  <c:v>238.92961267761882</c:v>
                </c:pt>
                <c:pt idx="271">
                  <c:v>240.51814592536951</c:v>
                </c:pt>
                <c:pt idx="272">
                  <c:v>242.11011755730019</c:v>
                </c:pt>
                <c:pt idx="273">
                  <c:v>243.70550253741862</c:v>
                </c:pt>
                <c:pt idx="274">
                  <c:v>245.3042758318424</c:v>
                </c:pt>
                <c:pt idx="275">
                  <c:v>246.9064124090381</c:v>
                </c:pt>
                <c:pt idx="276">
                  <c:v>248.51188724005888</c:v>
                </c:pt>
                <c:pt idx="277">
                  <c:v>250.12067529878118</c:v>
                </c:pt>
                <c:pt idx="278">
                  <c:v>251.73275156213975</c:v>
                </c:pt>
                <c:pt idx="279">
                  <c:v>253.34809101036151</c:v>
                </c:pt>
                <c:pt idx="280">
                  <c:v>254.96666862719815</c:v>
                </c:pt>
                <c:pt idx="281">
                  <c:v>256.58845940015726</c:v>
                </c:pt>
                <c:pt idx="282">
                  <c:v>258.21343832073234</c:v>
                </c:pt>
                <c:pt idx="283">
                  <c:v>259.84158038463119</c:v>
                </c:pt>
                <c:pt idx="284">
                  <c:v>261.47286059200331</c:v>
                </c:pt>
                <c:pt idx="285">
                  <c:v>263.10725394766558</c:v>
                </c:pt>
                <c:pt idx="286">
                  <c:v>264.74473546132702</c:v>
                </c:pt>
                <c:pt idx="287">
                  <c:v>266.38528014781173</c:v>
                </c:pt>
                <c:pt idx="288">
                  <c:v>268.02886302728092</c:v>
                </c:pt>
                <c:pt idx="289">
                  <c:v>269.67545912545324</c:v>
                </c:pt>
                <c:pt idx="290">
                  <c:v>271.325043473824</c:v>
                </c:pt>
                <c:pt idx="291">
                  <c:v>272.97759110988278</c:v>
                </c:pt>
                <c:pt idx="292">
                  <c:v>274.63307707732997</c:v>
                </c:pt>
                <c:pt idx="293">
                  <c:v>276.29147642629169</c:v>
                </c:pt>
                <c:pt idx="294">
                  <c:v>277.95276421353344</c:v>
                </c:pt>
                <c:pt idx="295">
                  <c:v>279.61691550267227</c:v>
                </c:pt>
                <c:pt idx="296">
                  <c:v>281.28390536438786</c:v>
                </c:pt>
                <c:pt idx="297">
                  <c:v>282.95370887663182</c:v>
                </c:pt>
                <c:pt idx="298">
                  <c:v>284.62628351581145</c:v>
                </c:pt>
                <c:pt idx="299">
                  <c:v>286.30155155276105</c:v>
                </c:pt>
                <c:pt idx="300">
                  <c:v>287.97941767922237</c:v>
                </c:pt>
                <c:pt idx="301">
                  <c:v>289.65978663032428</c:v>
                </c:pt>
                <c:pt idx="302">
                  <c:v>291.34256318635494</c:v>
                </c:pt>
                <c:pt idx="303">
                  <c:v>293.02765217451474</c:v>
                </c:pt>
                <c:pt idx="304">
                  <c:v>294.71495847065017</c:v>
                </c:pt>
                <c:pt idx="305">
                  <c:v>296.40438700096882</c:v>
                </c:pt>
                <c:pt idx="306">
                  <c:v>298.09584274373503</c:v>
                </c:pt>
                <c:pt idx="307">
                  <c:v>299.78923073094637</c:v>
                </c:pt>
                <c:pt idx="308">
                  <c:v>301.48445604999102</c:v>
                </c:pt>
                <c:pt idx="309">
                  <c:v>303.18142384528562</c:v>
                </c:pt>
                <c:pt idx="310">
                  <c:v>304.88003931989397</c:v>
                </c:pt>
                <c:pt idx="311">
                  <c:v>306.58020773712639</c:v>
                </c:pt>
                <c:pt idx="312">
                  <c:v>308.28183442211963</c:v>
                </c:pt>
                <c:pt idx="313">
                  <c:v>309.9848247633974</c:v>
                </c:pt>
                <c:pt idx="314">
                  <c:v>311.68908421441154</c:v>
                </c:pt>
                <c:pt idx="315">
                  <c:v>313.39451829506379</c:v>
                </c:pt>
                <c:pt idx="316">
                  <c:v>315.10103259320795</c:v>
                </c:pt>
                <c:pt idx="317">
                  <c:v>316.8085327661326</c:v>
                </c:pt>
                <c:pt idx="318">
                  <c:v>318.51692454202464</c:v>
                </c:pt>
                <c:pt idx="319">
                  <c:v>320.2261137214129</c:v>
                </c:pt>
                <c:pt idx="320">
                  <c:v>321.93600617859266</c:v>
                </c:pt>
                <c:pt idx="321">
                  <c:v>323.64651485678212</c:v>
                </c:pt>
                <c:pt idx="322">
                  <c:v>325.3575667580202</c:v>
                </c:pt>
                <c:pt idx="323">
                  <c:v>327.06909593880772</c:v>
                </c:pt>
                <c:pt idx="324">
                  <c:v>328.78103651063037</c:v>
                </c:pt>
                <c:pt idx="325">
                  <c:v>330.49332264061275</c:v>
                </c:pt>
                <c:pt idx="326">
                  <c:v>332.20588855216323</c:v>
                </c:pt>
                <c:pt idx="327">
                  <c:v>333.91866852560935</c:v>
                </c:pt>
                <c:pt idx="328">
                  <c:v>335.63159689882315</c:v>
                </c:pt>
                <c:pt idx="329">
                  <c:v>337.34460806783761</c:v>
                </c:pt>
                <c:pt idx="330">
                  <c:v>339.05763648745312</c:v>
                </c:pt>
                <c:pt idx="331">
                  <c:v>340.77061667183466</c:v>
                </c:pt>
                <c:pt idx="332">
                  <c:v>342.48348319509944</c:v>
                </c:pt>
                <c:pt idx="333">
                  <c:v>344.19617069189519</c:v>
                </c:pt>
                <c:pt idx="334">
                  <c:v>345.90861385796899</c:v>
                </c:pt>
                <c:pt idx="335">
                  <c:v>347.62074745072664</c:v>
                </c:pt>
                <c:pt idx="336">
                  <c:v>349.33250628978277</c:v>
                </c:pt>
                <c:pt idx="337">
                  <c:v>351.04382525750145</c:v>
                </c:pt>
                <c:pt idx="338">
                  <c:v>352.75463929952787</c:v>
                </c:pt>
                <c:pt idx="339">
                  <c:v>354.46488342531006</c:v>
                </c:pt>
                <c:pt idx="340">
                  <c:v>356.17449270861215</c:v>
                </c:pt>
                <c:pt idx="341">
                  <c:v>357.88340228801769</c:v>
                </c:pt>
                <c:pt idx="342">
                  <c:v>359.59154736742431</c:v>
                </c:pt>
                <c:pt idx="343">
                  <c:v>361.29886321652884</c:v>
                </c:pt>
                <c:pt idx="344">
                  <c:v>363.00528517130351</c:v>
                </c:pt>
                <c:pt idx="345">
                  <c:v>364.71074863446302</c:v>
                </c:pt>
                <c:pt idx="346">
                  <c:v>366.4151890759224</c:v>
                </c:pt>
                <c:pt idx="347">
                  <c:v>368.118542033246</c:v>
                </c:pt>
                <c:pt idx="348">
                  <c:v>369.8207438654083</c:v>
                </c:pt>
                <c:pt idx="349">
                  <c:v>371.52173250571508</c:v>
                </c:pt>
                <c:pt idx="350">
                  <c:v>373.22144670722844</c:v>
                </c:pt>
                <c:pt idx="351">
                  <c:v>374.91982528898967</c:v>
                </c:pt>
                <c:pt idx="352">
                  <c:v>376.61680713637691</c:v>
                </c:pt>
                <c:pt idx="353">
                  <c:v>378.31233120145504</c:v>
                </c:pt>
                <c:pt idx="354">
                  <c:v>380.00633650331719</c:v>
                </c:pt>
                <c:pt idx="355">
                  <c:v>381.69876212841882</c:v>
                </c:pt>
                <c:pt idx="356">
                  <c:v>383.38954723090364</c:v>
                </c:pt>
                <c:pt idx="357">
                  <c:v>385.07863103292175</c:v>
                </c:pt>
                <c:pt idx="358">
                  <c:v>386.76595282494003</c:v>
                </c:pt>
                <c:pt idx="359">
                  <c:v>388.45145196604477</c:v>
                </c:pt>
                <c:pt idx="360">
                  <c:v>390.13508354435527</c:v>
                </c:pt>
                <c:pt idx="361">
                  <c:v>391.81683401816588</c:v>
                </c:pt>
                <c:pt idx="362">
                  <c:v>393.49670551863704</c:v>
                </c:pt>
                <c:pt idx="363">
                  <c:v>395.17470017161696</c:v>
                </c:pt>
                <c:pt idx="364">
                  <c:v>396.85082009765847</c:v>
                </c:pt>
                <c:pt idx="365">
                  <c:v>398.52506741203592</c:v>
                </c:pt>
                <c:pt idx="366">
                  <c:v>400.19744422476191</c:v>
                </c:pt>
                <c:pt idx="367">
                  <c:v>401.86795264060396</c:v>
                </c:pt>
                <c:pt idx="368">
                  <c:v>403.53659475910115</c:v>
                </c:pt>
                <c:pt idx="369">
                  <c:v>405.20337267458075</c:v>
                </c:pt>
                <c:pt idx="370">
                  <c:v>406.86828847617465</c:v>
                </c:pt>
                <c:pt idx="371">
                  <c:v>408.53134424783576</c:v>
                </c:pt>
                <c:pt idx="372">
                  <c:v>410.19254206835433</c:v>
                </c:pt>
                <c:pt idx="373">
                  <c:v>411.85188401137435</c:v>
                </c:pt>
                <c:pt idx="374">
                  <c:v>413.50937214540983</c:v>
                </c:pt>
                <c:pt idx="375">
                  <c:v>415.16500853386066</c:v>
                </c:pt>
                <c:pt idx="376">
                  <c:v>416.81879523502903</c:v>
                </c:pt>
                <c:pt idx="377">
                  <c:v>418.47073430213533</c:v>
                </c:pt>
                <c:pt idx="378">
                  <c:v>420.12082778333405</c:v>
                </c:pt>
                <c:pt idx="379">
                  <c:v>421.76907772172979</c:v>
                </c:pt>
                <c:pt idx="380">
                  <c:v>423.41548615539301</c:v>
                </c:pt>
                <c:pt idx="381">
                  <c:v>425.0600551173759</c:v>
                </c:pt>
                <c:pt idx="382">
                  <c:v>426.70278663572799</c:v>
                </c:pt>
                <c:pt idx="383">
                  <c:v>428.3436827335118</c:v>
                </c:pt>
                <c:pt idx="384">
                  <c:v>429.98274542881853</c:v>
                </c:pt>
                <c:pt idx="385">
                  <c:v>431.61997673478351</c:v>
                </c:pt>
                <c:pt idx="386">
                  <c:v>433.2553786596016</c:v>
                </c:pt>
                <c:pt idx="387">
                  <c:v>434.88895320654268</c:v>
                </c:pt>
                <c:pt idx="388">
                  <c:v>436.52070237396691</c:v>
                </c:pt>
                <c:pt idx="389">
                  <c:v>438.15062815534009</c:v>
                </c:pt>
                <c:pt idx="390">
                  <c:v>439.77873253924878</c:v>
                </c:pt>
                <c:pt idx="391">
                  <c:v>441.40501750941553</c:v>
                </c:pt>
                <c:pt idx="392">
                  <c:v>443.02948504471397</c:v>
                </c:pt>
                <c:pt idx="393">
                  <c:v>444.65213711918369</c:v>
                </c:pt>
                <c:pt idx="394">
                  <c:v>446.27297570204541</c:v>
                </c:pt>
                <c:pt idx="395">
                  <c:v>447.89200275771583</c:v>
                </c:pt>
                <c:pt idx="396">
                  <c:v>449.50922024582241</c:v>
                </c:pt>
                <c:pt idx="397">
                  <c:v>451.12463012121822</c:v>
                </c:pt>
                <c:pt idx="398">
                  <c:v>452.73823433399667</c:v>
                </c:pt>
                <c:pt idx="399">
                  <c:v>454.35003482950623</c:v>
                </c:pt>
                <c:pt idx="400">
                  <c:v>455.96003354836495</c:v>
                </c:pt>
                <c:pt idx="401">
                  <c:v>471.96107300060953</c:v>
                </c:pt>
                <c:pt idx="402">
                  <c:v>487.78318333211666</c:v>
                </c:pt>
                <c:pt idx="403">
                  <c:v>503.42825807706595</c:v>
                </c:pt>
                <c:pt idx="404">
                  <c:v>518.89814542549937</c:v>
                </c:pt>
                <c:pt idx="405">
                  <c:v>534.19464958529625</c:v>
                </c:pt>
                <c:pt idx="406">
                  <c:v>549.31953209177277</c:v>
                </c:pt>
                <c:pt idx="407">
                  <c:v>564.27451306730495</c:v>
                </c:pt>
                <c:pt idx="408">
                  <c:v>579.06127243324454</c:v>
                </c:pt>
                <c:pt idx="409">
                  <c:v>593.68145107627743</c:v>
                </c:pt>
                <c:pt idx="410">
                  <c:v>608.13665197126136</c:v>
                </c:pt>
                <c:pt idx="411">
                  <c:v>622.42844126247451</c:v>
                </c:pt>
                <c:pt idx="412">
                  <c:v>636.558349305104</c:v>
                </c:pt>
                <c:pt idx="413">
                  <c:v>650.52787166871224</c:v>
                </c:pt>
                <c:pt idx="414">
                  <c:v>664.33847010432908</c:v>
                </c:pt>
                <c:pt idx="415">
                  <c:v>677.9915734767344</c:v>
                </c:pt>
                <c:pt idx="416">
                  <c:v>691.48857866341723</c:v>
                </c:pt>
                <c:pt idx="417">
                  <c:v>704.83085142162349</c:v>
                </c:pt>
                <c:pt idx="418">
                  <c:v>718.01972722483549</c:v>
                </c:pt>
                <c:pt idx="419">
                  <c:v>731.05651206995776</c:v>
                </c:pt>
                <c:pt idx="420">
                  <c:v>743.94248325642502</c:v>
                </c:pt>
                <c:pt idx="421">
                  <c:v>756.67889013838635</c:v>
                </c:pt>
                <c:pt idx="422">
                  <c:v>769.26695485106575</c:v>
                </c:pt>
                <c:pt idx="423">
                  <c:v>781.70787301234577</c:v>
                </c:pt>
                <c:pt idx="424">
                  <c:v>794.00281440057267</c:v>
                </c:pt>
                <c:pt idx="425">
                  <c:v>806.15292360953242</c:v>
                </c:pt>
                <c:pt idx="426">
                  <c:v>818.15932068150437</c:v>
                </c:pt>
                <c:pt idx="427">
                  <c:v>830.02310171925626</c:v>
                </c:pt>
                <c:pt idx="428">
                  <c:v>841.74533947780549</c:v>
                </c:pt>
                <c:pt idx="429">
                  <c:v>853.32708393673147</c:v>
                </c:pt>
                <c:pt idx="430">
                  <c:v>864.76936285379099</c:v>
                </c:pt>
                <c:pt idx="431">
                  <c:v>876.07318230055296</c:v>
                </c:pt>
                <c:pt idx="432">
                  <c:v>887.23952718073645</c:v>
                </c:pt>
                <c:pt idx="433">
                  <c:v>898.26936173190711</c:v>
                </c:pt>
                <c:pt idx="434">
                  <c:v>909.16363001115553</c:v>
                </c:pt>
                <c:pt idx="435">
                  <c:v>919.92325636535645</c:v>
                </c:pt>
                <c:pt idx="436">
                  <c:v>930.54914588657891</c:v>
                </c:pt>
                <c:pt idx="437">
                  <c:v>941.04218485319529</c:v>
                </c:pt>
                <c:pt idx="438">
                  <c:v>951.40324115721126</c:v>
                </c:pt>
                <c:pt idx="439">
                  <c:v>961.6331647183174</c:v>
                </c:pt>
                <c:pt idx="440">
                  <c:v>971.73278788514222</c:v>
                </c:pt>
                <c:pt idx="441">
                  <c:v>981.70292582416516</c:v>
                </c:pt>
                <c:pt idx="442">
                  <c:v>991.54437689673011</c:v>
                </c:pt>
                <c:pt idx="443">
                  <c:v>1001.2579230245801</c:v>
                </c:pt>
                <c:pt idx="444">
                  <c:v>1010.8443300443178</c:v>
                </c:pt>
                <c:pt idx="445">
                  <c:v>1020.3043480511785</c:v>
                </c:pt>
                <c:pt idx="446">
                  <c:v>1029.6387117324891</c:v>
                </c:pt>
                <c:pt idx="447">
                  <c:v>1038.8481406911674</c:v>
                </c:pt>
                <c:pt idx="448">
                  <c:v>1047.9333397596049</c:v>
                </c:pt>
                <c:pt idx="449">
                  <c:v>1056.8949993042629</c:v>
                </c:pt>
                <c:pt idx="450">
                  <c:v>1065.7337955212961</c:v>
                </c:pt>
                <c:pt idx="451">
                  <c:v>1074.4503907235073</c:v>
                </c:pt>
                <c:pt idx="452">
                  <c:v>1083.0454336189248</c:v>
                </c:pt>
                <c:pt idx="453">
                  <c:v>1091.5195595812838</c:v>
                </c:pt>
                <c:pt idx="454">
                  <c:v>1099.8733909126793</c:v>
                </c:pt>
                <c:pt idx="455">
                  <c:v>1108.1075370986523</c:v>
                </c:pt>
                <c:pt idx="456">
                  <c:v>1116.2225950559571</c:v>
                </c:pt>
                <c:pt idx="457">
                  <c:v>1124.2191493732512</c:v>
                </c:pt>
                <c:pt idx="458">
                  <c:v>1132.09777254494</c:v>
                </c:pt>
                <c:pt idx="459">
                  <c:v>1139.8590251983981</c:v>
                </c:pt>
                <c:pt idx="460">
                  <c:v>1147.5034563147847</c:v>
                </c:pt>
                <c:pt idx="461">
                  <c:v>1155.0316034436596</c:v>
                </c:pt>
                <c:pt idx="462">
                  <c:v>1162.4439929116011</c:v>
                </c:pt>
                <c:pt idx="463">
                  <c:v>1169.7411400250207</c:v>
                </c:pt>
                <c:pt idx="464">
                  <c:v>1176.9235492673604</c:v>
                </c:pt>
                <c:pt idx="465">
                  <c:v>1183.9917144908559</c:v>
                </c:pt>
                <c:pt idx="466">
                  <c:v>1190.9461191030416</c:v>
                </c:pt>
                <c:pt idx="467">
                  <c:v>1197.7872362481671</c:v>
                </c:pt>
                <c:pt idx="468">
                  <c:v>1204.5155289836905</c:v>
                </c:pt>
                <c:pt idx="469">
                  <c:v>1211.1314504520108</c:v>
                </c:pt>
                <c:pt idx="470">
                  <c:v>1217.6354440475943</c:v>
                </c:pt>
                <c:pt idx="471">
                  <c:v>1224.0279435796492</c:v>
                </c:pt>
                <c:pt idx="472">
                  <c:v>1230.3093734304941</c:v>
                </c:pt>
                <c:pt idx="473">
                  <c:v>1236.4801487097689</c:v>
                </c:pt>
                <c:pt idx="474">
                  <c:v>1242.540675404628</c:v>
                </c:pt>
                <c:pt idx="475">
                  <c:v>1248.4913505260561</c:v>
                </c:pt>
                <c:pt idx="476">
                  <c:v>1254.3325622514435</c:v>
                </c:pt>
                <c:pt idx="477">
                  <c:v>1260.0646900635552</c:v>
                </c:pt>
                <c:pt idx="478">
                  <c:v>1265.6881048860278</c:v>
                </c:pt>
                <c:pt idx="479">
                  <c:v>1271.2031692155244</c:v>
                </c:pt>
                <c:pt idx="480">
                  <c:v>1276.6102372506814</c:v>
                </c:pt>
                <c:pt idx="481">
                  <c:v>1281.9096550179734</c:v>
                </c:pt>
                <c:pt idx="482">
                  <c:v>1287.1017604946292</c:v>
                </c:pt>
                <c:pt idx="483">
                  <c:v>1292.1868837287286</c:v>
                </c:pt>
                <c:pt idx="484">
                  <c:v>1297.1653469566097</c:v>
                </c:pt>
                <c:pt idx="485">
                  <c:v>1302.0374647177216</c:v>
                </c:pt>
                <c:pt idx="486">
                  <c:v>1306.8035439670537</c:v>
                </c:pt>
                <c:pt idx="487">
                  <c:v>1311.4638841852804</c:v>
                </c:pt>
                <c:pt idx="488">
                  <c:v>1316.0187774867595</c:v>
                </c:pt>
                <c:pt idx="489">
                  <c:v>1320.4685087255266</c:v>
                </c:pt>
                <c:pt idx="490">
                  <c:v>1324.8133555994336</c:v>
                </c:pt>
                <c:pt idx="491">
                  <c:v>1329.0535887525841</c:v>
                </c:pt>
                <c:pt idx="492">
                  <c:v>1333.1894718762205</c:v>
                </c:pt>
                <c:pt idx="493">
                  <c:v>1337.221261808231</c:v>
                </c:pt>
                <c:pt idx="494">
                  <c:v>1341.1492086314452</c:v>
                </c:pt>
                <c:pt idx="495">
                  <c:v>1344.9735557709007</c:v>
                </c:pt>
                <c:pt idx="496">
                  <c:v>1348.6945400902691</c:v>
                </c:pt>
                <c:pt idx="497">
                  <c:v>1352.3123919876414</c:v>
                </c:pt>
                <c:pt idx="498">
                  <c:v>1355.8273354908845</c:v>
                </c:pt>
                <c:pt idx="499">
                  <c:v>1359.2395883527934</c:v>
                </c:pt>
                <c:pt idx="500">
                  <c:v>1362.5493621462758</c:v>
                </c:pt>
                <c:pt idx="501">
                  <c:v>1365.7568623598231</c:v>
                </c:pt>
                <c:pt idx="502">
                  <c:v>1368.8622884935346</c:v>
                </c:pt>
                <c:pt idx="503">
                  <c:v>1371.8658341559844</c:v>
                </c:pt>
                <c:pt idx="504">
                  <c:v>1374.7676871622316</c:v>
                </c:pt>
                <c:pt idx="505">
                  <c:v>1377.5680296332987</c:v>
                </c:pt>
                <c:pt idx="506">
                  <c:v>1380.2670380974635</c:v>
                </c:pt>
                <c:pt idx="507">
                  <c:v>1382.8648835937252</c:v>
                </c:pt>
                <c:pt idx="508">
                  <c:v>1385.3617317778323</c:v>
                </c:pt>
                <c:pt idx="509">
                  <c:v>1387.7577430312767</c:v>
                </c:pt>
                <c:pt idx="510">
                  <c:v>1390.053072573678</c:v>
                </c:pt>
                <c:pt idx="511">
                  <c:v>1392.2478705790056</c:v>
                </c:pt>
                <c:pt idx="512">
                  <c:v>1394.3422822960968</c:v>
                </c:pt>
                <c:pt idx="513">
                  <c:v>1396.3364481739454</c:v>
                </c:pt>
                <c:pt idx="514">
                  <c:v>1398.2305039922492</c:v>
                </c:pt>
                <c:pt idx="515">
                  <c:v>1400.0245809976996</c:v>
                </c:pt>
                <c:pt idx="516">
                  <c:v>1401.7188060465073</c:v>
                </c:pt>
                <c:pt idx="517">
                  <c:v>1403.3133017536388</c:v>
                </c:pt>
                <c:pt idx="518">
                  <c:v>1404.8081866492232</c:v>
                </c:pt>
                <c:pt idx="519">
                  <c:v>1406.2035753425605</c:v>
                </c:pt>
                <c:pt idx="520">
                  <c:v>1407.4995786941179</c:v>
                </c:pt>
                <c:pt idx="521">
                  <c:v>1408.6963039958457</c:v>
                </c:pt>
                <c:pt idx="522">
                  <c:v>1409.7938551600746</c:v>
                </c:pt>
                <c:pt idx="523">
                  <c:v>1410.7923329171692</c:v>
                </c:pt>
                <c:pt idx="524">
                  <c:v>1411.6918350220117</c:v>
                </c:pt>
                <c:pt idx="525">
                  <c:v>1412.4924564692737</c:v>
                </c:pt>
                <c:pt idx="526">
                  <c:v>1413.1942897173014</c:v>
                </c:pt>
                <c:pt idx="527">
                  <c:v>1413.7974249203003</c:v>
                </c:pt>
                <c:pt idx="528">
                  <c:v>1414.3019501683527</c:v>
                </c:pt>
                <c:pt idx="529">
                  <c:v>1414.7079517346494</c:v>
                </c:pt>
                <c:pt idx="530">
                  <c:v>1415.0155143291545</c:v>
                </c:pt>
                <c:pt idx="531">
                  <c:v>1415.2247213577828</c:v>
                </c:pt>
                <c:pt idx="532">
                  <c:v>1415.3356551860206</c:v>
                </c:pt>
                <c:pt idx="533">
                  <c:v>1415.348397405807</c:v>
                </c:pt>
                <c:pt idx="534">
                  <c:v>1415.2630291043829</c:v>
                </c:pt>
                <c:pt idx="535">
                  <c:v>1415.0796311337544</c:v>
                </c:pt>
                <c:pt idx="536">
                  <c:v>1414.79828437936</c:v>
                </c:pt>
                <c:pt idx="537">
                  <c:v>1414.4190700265283</c:v>
                </c:pt>
                <c:pt idx="538">
                  <c:v>1413.9420698233337</c:v>
                </c:pt>
                <c:pt idx="539">
                  <c:v>1413.3673663385055</c:v>
                </c:pt>
                <c:pt idx="540">
                  <c:v>1412.6950432131325</c:v>
                </c:pt>
                <c:pt idx="541">
                  <c:v>1411.9251854050124</c:v>
                </c:pt>
                <c:pt idx="542">
                  <c:v>1411.0578794246198</c:v>
                </c:pt>
                <c:pt idx="543">
                  <c:v>1410.0932135618166</c:v>
                </c:pt>
                <c:pt idx="544">
                  <c:v>1409.0312781025725</c:v>
                </c:pt>
                <c:pt idx="545">
                  <c:v>1407.8721655351285</c:v>
                </c:pt>
                <c:pt idx="546">
                  <c:v>1406.6159707451848</c:v>
                </c:pt>
                <c:pt idx="547">
                  <c:v>1405.2627911998459</c:v>
                </c:pt>
                <c:pt idx="548">
                  <c:v>1403.8127271201965</c:v>
                </c:pt>
                <c:pt idx="549">
                  <c:v>1402.2658816425028</c:v>
                </c:pt>
                <c:pt idx="550">
                  <c:v>1400.6223609681524</c:v>
                </c:pt>
                <c:pt idx="551">
                  <c:v>1398.8822745025386</c:v>
                </c:pt>
                <c:pt idx="552">
                  <c:v>1397.0457349831736</c:v>
                </c:pt>
                <c:pt idx="553">
                  <c:v>1395.1128585973854</c:v>
                </c:pt>
                <c:pt idx="554">
                  <c:v>1393.0837650899975</c:v>
                </c:pt>
                <c:pt idx="555">
                  <c:v>1390.958577861433</c:v>
                </c:pt>
                <c:pt idx="556">
                  <c:v>1388.7374240567015</c:v>
                </c:pt>
                <c:pt idx="557">
                  <c:v>1386.4204346457504</c:v>
                </c:pt>
                <c:pt idx="558">
                  <c:v>1384.0077444956607</c:v>
                </c:pt>
                <c:pt idx="559">
                  <c:v>1381.4994924351638</c:v>
                </c:pt>
                <c:pt idx="560">
                  <c:v>1378.8958213119552</c:v>
                </c:pt>
                <c:pt idx="561">
                  <c:v>1376.1968780432574</c:v>
                </c:pt>
                <c:pt idx="562">
                  <c:v>1373.4028136600755</c:v>
                </c:pt>
                <c:pt idx="563">
                  <c:v>1370.5137833455644</c:v>
                </c:pt>
                <c:pt idx="564">
                  <c:v>1367.5299464679067</c:v>
                </c:pt>
                <c:pt idx="565">
                  <c:v>1364.4514666080793</c:v>
                </c:pt>
                <c:pt idx="566">
                  <c:v>1361.2785115828617</c:v>
                </c:pt>
                <c:pt idx="567">
                  <c:v>1358.0112534634175</c:v>
                </c:pt>
                <c:pt idx="568">
                  <c:v>1354.6498685897573</c:v>
                </c:pt>
                <c:pt idx="569">
                  <c:v>1351.1945375813716</c:v>
                </c:pt>
                <c:pt idx="570">
                  <c:v>1347.6454453442984</c:v>
                </c:pt>
                <c:pt idx="571">
                  <c:v>1344.0027810748716</c:v>
                </c:pt>
                <c:pt idx="572">
                  <c:v>1340.2667382603793</c:v>
                </c:pt>
                <c:pt idx="573">
                  <c:v>1336.4375146768405</c:v>
                </c:pt>
                <c:pt idx="574">
                  <c:v>1332.5153123840939</c:v>
                </c:pt>
                <c:pt idx="575">
                  <c:v>1328.5003377183778</c:v>
                </c:pt>
                <c:pt idx="576">
                  <c:v>1324.3928012825629</c:v>
                </c:pt>
                <c:pt idx="577">
                  <c:v>1320.1929179341921</c:v>
                </c:pt>
                <c:pt idx="578">
                  <c:v>1315.9009067714633</c:v>
                </c:pt>
                <c:pt idx="579">
                  <c:v>1311.5169911172827</c:v>
                </c:pt>
                <c:pt idx="580">
                  <c:v>1307.0413985015095</c:v>
                </c:pt>
                <c:pt idx="581">
                  <c:v>1302.4743606414961</c:v>
                </c:pt>
                <c:pt idx="582">
                  <c:v>1297.816113421025</c:v>
                </c:pt>
                <c:pt idx="583">
                  <c:v>1293.0668968677367</c:v>
                </c:pt>
                <c:pt idx="584">
                  <c:v>1288.226955129129</c:v>
                </c:pt>
                <c:pt idx="585">
                  <c:v>1283.2965364472102</c:v>
                </c:pt>
                <c:pt idx="586">
                  <c:v>1278.2758931318758</c:v>
                </c:pt>
                <c:pt idx="587">
                  <c:v>1273.1652815330781</c:v>
                </c:pt>
                <c:pt idx="588">
                  <c:v>1267.9649620118494</c:v>
                </c:pt>
                <c:pt idx="589">
                  <c:v>1262.6751989102379</c:v>
                </c:pt>
                <c:pt idx="590">
                  <c:v>1257.2962605202094</c:v>
                </c:pt>
                <c:pt idx="591">
                  <c:v>1251.8284190515658</c:v>
                </c:pt>
                <c:pt idx="592">
                  <c:v>1246.271950598926</c:v>
                </c:pt>
                <c:pt idx="593">
                  <c:v>1240.6271351078153</c:v>
                </c:pt>
                <c:pt idx="594">
                  <c:v>1234.8942563399028</c:v>
                </c:pt>
                <c:pt idx="595">
                  <c:v>1229.0736018374259</c:v>
                </c:pt>
                <c:pt idx="596">
                  <c:v>1223.1654628868387</c:v>
                </c:pt>
                <c:pt idx="597">
                  <c:v>1217.1701344817182</c:v>
                </c:pt>
                <c:pt idx="598">
                  <c:v>1211.0879152849611</c:v>
                </c:pt>
                <c:pt idx="599">
                  <c:v>1204.9191075903029</c:v>
                </c:pt>
                <c:pt idx="600">
                  <c:v>1198.6640172831862</c:v>
                </c:pt>
                <c:pt idx="601">
                  <c:v>1192.3229538010082</c:v>
                </c:pt>
                <c:pt idx="602">
                  <c:v>1185.896230092774</c:v>
                </c:pt>
                <c:pt idx="603">
                  <c:v>1179.3841625781783</c:v>
                </c:pt>
                <c:pt idx="604">
                  <c:v>1172.7870711061448</c:v>
                </c:pt>
                <c:pt idx="605">
                  <c:v>1166.105278912841</c:v>
                </c:pt>
                <c:pt idx="606">
                  <c:v>1159.3391125791945</c:v>
                </c:pt>
                <c:pt idx="607">
                  <c:v>1152.4889019879322</c:v>
                </c:pt>
                <c:pt idx="608">
                  <c:v>1145.5549802801609</c:v>
                </c:pt>
                <c:pt idx="609">
                  <c:v>1138.5376838115119</c:v>
                </c:pt>
                <c:pt idx="610">
                  <c:v>1131.4373521078687</c:v>
                </c:pt>
                <c:pt idx="611">
                  <c:v>1124.2543278206954</c:v>
                </c:pt>
                <c:pt idx="612">
                  <c:v>1116.988956681985</c:v>
                </c:pt>
                <c:pt idx="613">
                  <c:v>1109.6415874588467</c:v>
                </c:pt>
                <c:pt idx="614">
                  <c:v>1102.2125719077476</c:v>
                </c:pt>
                <c:pt idx="615">
                  <c:v>1094.7022647284271</c:v>
                </c:pt>
                <c:pt idx="616">
                  <c:v>1087.1110235174997</c:v>
                </c:pt>
                <c:pt idx="617">
                  <c:v>1079.439208721765</c:v>
                </c:pt>
                <c:pt idx="618">
                  <c:v>1071.6871835912366</c:v>
                </c:pt>
                <c:pt idx="619">
                  <c:v>1063.8553141319092</c:v>
                </c:pt>
                <c:pt idx="620">
                  <c:v>1055.9439690582776</c:v>
                </c:pt>
                <c:pt idx="621">
                  <c:v>1047.9535197456235</c:v>
                </c:pt>
                <c:pt idx="622">
                  <c:v>1039.8843401820825</c:v>
                </c:pt>
                <c:pt idx="623">
                  <c:v>1031.7368069205102</c:v>
                </c:pt>
                <c:pt idx="624">
                  <c:v>1023.5112990301571</c:v>
                </c:pt>
                <c:pt idx="625">
                  <c:v>1015.2081980481699</c:v>
                </c:pt>
                <c:pt idx="626">
                  <c:v>1006.8278879309302</c:v>
                </c:pt>
                <c:pt idx="627">
                  <c:v>998.37075500524679</c:v>
                </c:pt>
                <c:pt idx="628">
                  <c:v>989.83718791941396</c:v>
                </c:pt>
                <c:pt idx="629">
                  <c:v>981.22757759414822</c:v>
                </c:pt>
                <c:pt idx="630">
                  <c:v>972.54231717341816</c:v>
                </c:pt>
                <c:pt idx="631">
                  <c:v>963.78180197517929</c:v>
                </c:pt>
                <c:pt idx="632">
                  <c:v>954.94642944202712</c:v>
                </c:pt>
                <c:pt idx="633">
                  <c:v>946.03659909178134</c:v>
                </c:pt>
                <c:pt idx="634">
                  <c:v>937.05271246801237</c:v>
                </c:pt>
                <c:pt idx="635">
                  <c:v>927.99517309052442</c:v>
                </c:pt>
                <c:pt idx="636">
                  <c:v>918.86438640580525</c:v>
                </c:pt>
                <c:pt idx="637">
                  <c:v>909.66075973745649</c:v>
                </c:pt>
                <c:pt idx="638">
                  <c:v>900.38470223661477</c:v>
                </c:pt>
                <c:pt idx="639">
                  <c:v>891.03662483237679</c:v>
                </c:pt>
                <c:pt idx="640">
                  <c:v>881.61694018223841</c:v>
                </c:pt>
                <c:pt idx="641">
                  <c:v>872.12606262256077</c:v>
                </c:pt>
                <c:pt idx="642">
                  <c:v>862.56440811907339</c:v>
                </c:pt>
                <c:pt idx="643">
                  <c:v>852.93239421742624</c:v>
                </c:pt>
                <c:pt idx="644">
                  <c:v>843.23043999380116</c:v>
                </c:pt>
                <c:pt idx="645">
                  <c:v>833.45896600559445</c:v>
                </c:pt>
                <c:pt idx="646">
                  <c:v>823.61839424217999</c:v>
                </c:pt>
                <c:pt idx="647">
                  <c:v>813.70914807576469</c:v>
                </c:pt>
                <c:pt idx="648">
                  <c:v>803.73165221234592</c:v>
                </c:pt>
                <c:pt idx="649">
                  <c:v>793.68633264278196</c:v>
                </c:pt>
                <c:pt idx="650">
                  <c:v>783.57361659398464</c:v>
                </c:pt>
                <c:pt idx="651">
                  <c:v>773.39393248024521</c:v>
                </c:pt>
                <c:pt idx="652">
                  <c:v>763.14770985470261</c:v>
                </c:pt>
                <c:pt idx="653">
                  <c:v>752.83537936096423</c:v>
                </c:pt>
                <c:pt idx="654">
                  <c:v>742.45737268488847</c:v>
                </c:pt>
                <c:pt idx="655">
                  <c:v>732.01412250653902</c:v>
                </c:pt>
                <c:pt idx="656">
                  <c:v>721.50606245231938</c:v>
                </c:pt>
                <c:pt idx="657">
                  <c:v>710.9336270472977</c:v>
                </c:pt>
                <c:pt idx="658">
                  <c:v>700.29725166773028</c:v>
                </c:pt>
                <c:pt idx="659">
                  <c:v>689.59737249379248</c:v>
                </c:pt>
                <c:pt idx="660">
                  <c:v>678.83442646252684</c:v>
                </c:pt>
                <c:pt idx="661">
                  <c:v>668.00885122101545</c:v>
                </c:pt>
                <c:pt idx="662">
                  <c:v>657.12108507978587</c:v>
                </c:pt>
                <c:pt idx="663">
                  <c:v>646.17156696645918</c:v>
                </c:pt>
                <c:pt idx="664">
                  <c:v>635.16073637964701</c:v>
                </c:pt>
                <c:pt idx="665">
                  <c:v>624.08903334310719</c:v>
                </c:pt>
                <c:pt idx="666">
                  <c:v>612.95689836016402</c:v>
                </c:pt>
                <c:pt idx="667">
                  <c:v>601.7647723684023</c:v>
                </c:pt>
                <c:pt idx="668">
                  <c:v>590.51309669464183</c:v>
                </c:pt>
                <c:pt idx="669">
                  <c:v>579.20231301019999</c:v>
                </c:pt>
                <c:pt idx="670">
                  <c:v>567.83286328644908</c:v>
                </c:pt>
                <c:pt idx="671">
                  <c:v>556.40518975067675</c:v>
                </c:pt>
                <c:pt idx="672">
                  <c:v>544.91973484225434</c:v>
                </c:pt>
                <c:pt idx="673">
                  <c:v>533.37694116912189</c:v>
                </c:pt>
                <c:pt idx="674">
                  <c:v>521.777251464595</c:v>
                </c:pt>
                <c:pt idx="675">
                  <c:v>510.12110854450066</c:v>
                </c:pt>
                <c:pt idx="676">
                  <c:v>498.40895526464777</c:v>
                </c:pt>
                <c:pt idx="677">
                  <c:v>486.64123447863886</c:v>
                </c:pt>
                <c:pt idx="678">
                  <c:v>474.81838899602866</c:v>
                </c:pt>
                <c:pt idx="679">
                  <c:v>462.94086154083533</c:v>
                </c:pt>
                <c:pt idx="680">
                  <c:v>451.00909471041007</c:v>
                </c:pt>
                <c:pt idx="681">
                  <c:v>439.0235309346703</c:v>
                </c:pt>
                <c:pt idx="682">
                  <c:v>426.98461243570188</c:v>
                </c:pt>
                <c:pt idx="683">
                  <c:v>414.89278118773547</c:v>
                </c:pt>
                <c:pt idx="684">
                  <c:v>402.74847887750173</c:v>
                </c:pt>
                <c:pt idx="685">
                  <c:v>390.55214686497084</c:v>
                </c:pt>
                <c:pt idx="686">
                  <c:v>378.30422614447986</c:v>
                </c:pt>
                <c:pt idx="687">
                  <c:v>366.00515730625358</c:v>
                </c:pt>
                <c:pt idx="688">
                  <c:v>353.65538049832236</c:v>
                </c:pt>
                <c:pt idx="689">
                  <c:v>341.25533538884144</c:v>
                </c:pt>
                <c:pt idx="690">
                  <c:v>328.80546112881586</c:v>
                </c:pt>
                <c:pt idx="691">
                  <c:v>316.30619631523427</c:v>
                </c:pt>
                <c:pt idx="692">
                  <c:v>303.75797895461619</c:v>
                </c:pt>
                <c:pt idx="693">
                  <c:v>291.16124642697525</c:v>
                </c:pt>
                <c:pt idx="694">
                  <c:v>278.51643545020278</c:v>
                </c:pt>
                <c:pt idx="695">
                  <c:v>265.82398204487407</c:v>
                </c:pt>
                <c:pt idx="696">
                  <c:v>253.08432149948104</c:v>
                </c:pt>
                <c:pt idx="697">
                  <c:v>240.29788833609382</c:v>
                </c:pt>
                <c:pt idx="698">
                  <c:v>227.46511627645418</c:v>
                </c:pt>
                <c:pt idx="699">
                  <c:v>214.58643820850341</c:v>
                </c:pt>
                <c:pt idx="700">
                  <c:v>201.662286153347</c:v>
                </c:pt>
                <c:pt idx="701">
                  <c:v>188.69309123265856</c:v>
                </c:pt>
                <c:pt idx="702">
                  <c:v>175.67928363652499</c:v>
                </c:pt>
                <c:pt idx="703">
                  <c:v>162.62129259173506</c:v>
                </c:pt>
                <c:pt idx="704">
                  <c:v>149.51954633051318</c:v>
                </c:pt>
                <c:pt idx="705">
                  <c:v>136.37447205970003</c:v>
                </c:pt>
                <c:pt idx="706">
                  <c:v>123.18649593038171</c:v>
                </c:pt>
                <c:pt idx="707">
                  <c:v>109.9560430079688</c:v>
                </c:pt>
                <c:pt idx="708">
                  <c:v>96.683537242726644</c:v>
                </c:pt>
                <c:pt idx="709">
                  <c:v>83.369401440757926</c:v>
                </c:pt>
                <c:pt idx="710">
                  <c:v>70.014057235438656</c:v>
                </c:pt>
                <c:pt idx="711">
                  <c:v>56.617925059308376</c:v>
                </c:pt>
                <c:pt idx="712">
                  <c:v>43.181424116415315</c:v>
                </c:pt>
                <c:pt idx="713">
                  <c:v>29.704972355117114</c:v>
                </c:pt>
                <c:pt idx="714">
                  <c:v>16.18898644133759</c:v>
                </c:pt>
                <c:pt idx="715">
                  <c:v>2.6338817322798747</c:v>
                </c:pt>
                <c:pt idx="716">
                  <c:v>-10.95992774940386</c:v>
                </c:pt>
                <c:pt idx="717">
                  <c:v>-10.973540826977674</c:v>
                </c:pt>
                <c:pt idx="718">
                  <c:v>-10.987153942637404</c:v>
                </c:pt>
                <c:pt idx="719">
                  <c:v>-11.000767096382642</c:v>
                </c:pt>
                <c:pt idx="720">
                  <c:v>-11.014380288212978</c:v>
                </c:pt>
                <c:pt idx="721">
                  <c:v>-11.027993518128003</c:v>
                </c:pt>
                <c:pt idx="722">
                  <c:v>-11.041606786127307</c:v>
                </c:pt>
                <c:pt idx="723">
                  <c:v>-11.05522009221048</c:v>
                </c:pt>
                <c:pt idx="724">
                  <c:v>-11.068833436377112</c:v>
                </c:pt>
                <c:pt idx="725">
                  <c:v>-11.082446818626796</c:v>
                </c:pt>
                <c:pt idx="726">
                  <c:v>-11.096060238959121</c:v>
                </c:pt>
                <c:pt idx="727">
                  <c:v>-11.109673697373676</c:v>
                </c:pt>
                <c:pt idx="728">
                  <c:v>-11.123287193870054</c:v>
                </c:pt>
                <c:pt idx="729">
                  <c:v>-11.136900728447845</c:v>
                </c:pt>
                <c:pt idx="730">
                  <c:v>-11.150514301106639</c:v>
                </c:pt>
                <c:pt idx="731">
                  <c:v>-11.164127911846027</c:v>
                </c:pt>
                <c:pt idx="732">
                  <c:v>-11.177741560665599</c:v>
                </c:pt>
                <c:pt idx="733">
                  <c:v>-11.191355247564946</c:v>
                </c:pt>
                <c:pt idx="734">
                  <c:v>-11.204968972543657</c:v>
                </c:pt>
                <c:pt idx="735">
                  <c:v>-11.218582735601325</c:v>
                </c:pt>
                <c:pt idx="736">
                  <c:v>-11.23219653673754</c:v>
                </c:pt>
                <c:pt idx="737">
                  <c:v>-11.245810375951891</c:v>
                </c:pt>
                <c:pt idx="738">
                  <c:v>-11.259424253243969</c:v>
                </c:pt>
                <c:pt idx="739">
                  <c:v>-11.273038168613365</c:v>
                </c:pt>
                <c:pt idx="740">
                  <c:v>-11.286652122059669</c:v>
                </c:pt>
                <c:pt idx="741">
                  <c:v>-11.300266113582474</c:v>
                </c:pt>
                <c:pt idx="742">
                  <c:v>-11.313880143181368</c:v>
                </c:pt>
                <c:pt idx="743">
                  <c:v>-11.327494210855942</c:v>
                </c:pt>
                <c:pt idx="744">
                  <c:v>-11.341108316605787</c:v>
                </c:pt>
                <c:pt idx="745">
                  <c:v>-11.354722460430493</c:v>
                </c:pt>
                <c:pt idx="746">
                  <c:v>-11.36833664232965</c:v>
                </c:pt>
                <c:pt idx="747">
                  <c:v>-11.381950862302851</c:v>
                </c:pt>
                <c:pt idx="748">
                  <c:v>-11.395565120349683</c:v>
                </c:pt>
                <c:pt idx="749">
                  <c:v>-11.40917941646974</c:v>
                </c:pt>
                <c:pt idx="750">
                  <c:v>-11.422793750662612</c:v>
                </c:pt>
                <c:pt idx="751">
                  <c:v>-11.436408122927887</c:v>
                </c:pt>
                <c:pt idx="752">
                  <c:v>-11.450022533265157</c:v>
                </c:pt>
                <c:pt idx="753">
                  <c:v>-11.463636981674012</c:v>
                </c:pt>
                <c:pt idx="754">
                  <c:v>-11.477251468154044</c:v>
                </c:pt>
                <c:pt idx="755">
                  <c:v>-11.490865992704844</c:v>
                </c:pt>
                <c:pt idx="756">
                  <c:v>-11.504480555326001</c:v>
                </c:pt>
                <c:pt idx="757">
                  <c:v>-11.518095156017106</c:v>
                </c:pt>
                <c:pt idx="758">
                  <c:v>-11.531709794777749</c:v>
                </c:pt>
                <c:pt idx="759">
                  <c:v>-11.545324471607522</c:v>
                </c:pt>
                <c:pt idx="760">
                  <c:v>-11.558939186506015</c:v>
                </c:pt>
                <c:pt idx="761">
                  <c:v>-11.572553939472817</c:v>
                </c:pt>
                <c:pt idx="762">
                  <c:v>-11.58616873050752</c:v>
                </c:pt>
                <c:pt idx="763">
                  <c:v>-11.599783559609715</c:v>
                </c:pt>
                <c:pt idx="764">
                  <c:v>-11.613398426778993</c:v>
                </c:pt>
                <c:pt idx="765">
                  <c:v>-11.627013332014942</c:v>
                </c:pt>
                <c:pt idx="766">
                  <c:v>-11.640628275317153</c:v>
                </c:pt>
                <c:pt idx="767">
                  <c:v>-11.65424325668522</c:v>
                </c:pt>
                <c:pt idx="768">
                  <c:v>-11.66785827611873</c:v>
                </c:pt>
                <c:pt idx="769">
                  <c:v>-11.681473333617276</c:v>
                </c:pt>
                <c:pt idx="770">
                  <c:v>-11.695088429180448</c:v>
                </c:pt>
                <c:pt idx="771">
                  <c:v>-11.708703562807834</c:v>
                </c:pt>
                <c:pt idx="772">
                  <c:v>-11.722318734499028</c:v>
                </c:pt>
                <c:pt idx="773">
                  <c:v>-11.735933944253619</c:v>
                </c:pt>
                <c:pt idx="774">
                  <c:v>-11.749549192071198</c:v>
                </c:pt>
                <c:pt idx="775">
                  <c:v>-11.763164477951355</c:v>
                </c:pt>
                <c:pt idx="776">
                  <c:v>-11.776779801893682</c:v>
                </c:pt>
                <c:pt idx="777">
                  <c:v>-11.790395163897767</c:v>
                </c:pt>
                <c:pt idx="778">
                  <c:v>-11.804010563963203</c:v>
                </c:pt>
                <c:pt idx="779">
                  <c:v>-11.817626002089581</c:v>
                </c:pt>
                <c:pt idx="780">
                  <c:v>-11.831241478276489</c:v>
                </c:pt>
                <c:pt idx="781">
                  <c:v>-11.844856992523519</c:v>
                </c:pt>
                <c:pt idx="782">
                  <c:v>-11.858472544830262</c:v>
                </c:pt>
                <c:pt idx="783">
                  <c:v>-11.872088135196307</c:v>
                </c:pt>
                <c:pt idx="784">
                  <c:v>-11.885703763621247</c:v>
                </c:pt>
                <c:pt idx="785">
                  <c:v>-11.899319430104672</c:v>
                </c:pt>
                <c:pt idx="786">
                  <c:v>-11.912935134646171</c:v>
                </c:pt>
                <c:pt idx="787">
                  <c:v>-11.926550877245335</c:v>
                </c:pt>
                <c:pt idx="788">
                  <c:v>-11.940166657901756</c:v>
                </c:pt>
                <c:pt idx="789">
                  <c:v>-11.953782476615023</c:v>
                </c:pt>
                <c:pt idx="790">
                  <c:v>-11.967398333384729</c:v>
                </c:pt>
                <c:pt idx="791">
                  <c:v>-11.981014228210462</c:v>
                </c:pt>
                <c:pt idx="792">
                  <c:v>-11.994630161091814</c:v>
                </c:pt>
                <c:pt idx="793">
                  <c:v>-12.008246132028376</c:v>
                </c:pt>
                <c:pt idx="794">
                  <c:v>-12.021862141019737</c:v>
                </c:pt>
                <c:pt idx="795">
                  <c:v>-12.03547818806549</c:v>
                </c:pt>
                <c:pt idx="796">
                  <c:v>-12.049094273165222</c:v>
                </c:pt>
                <c:pt idx="797">
                  <c:v>-12.062710396318527</c:v>
                </c:pt>
                <c:pt idx="798">
                  <c:v>-12.076326557524995</c:v>
                </c:pt>
                <c:pt idx="799">
                  <c:v>-12.089942756784216</c:v>
                </c:pt>
                <c:pt idx="800">
                  <c:v>-12.103558994095781</c:v>
                </c:pt>
                <c:pt idx="801">
                  <c:v>-12.117175269459279</c:v>
                </c:pt>
                <c:pt idx="802">
                  <c:v>-12.130791582874302</c:v>
                </c:pt>
                <c:pt idx="803">
                  <c:v>-12.144407934340441</c:v>
                </c:pt>
                <c:pt idx="804">
                  <c:v>-12.158024323857285</c:v>
                </c:pt>
                <c:pt idx="805">
                  <c:v>-12.171640751424427</c:v>
                </c:pt>
                <c:pt idx="806">
                  <c:v>-12.185257217041457</c:v>
                </c:pt>
                <c:pt idx="807">
                  <c:v>-12.198873720707965</c:v>
                </c:pt>
                <c:pt idx="808">
                  <c:v>-12.212490262423541</c:v>
                </c:pt>
                <c:pt idx="809">
                  <c:v>-12.226106842187777</c:v>
                </c:pt>
                <c:pt idx="810">
                  <c:v>-12.239723460000263</c:v>
                </c:pt>
                <c:pt idx="811">
                  <c:v>-12.25334011586059</c:v>
                </c:pt>
                <c:pt idx="812">
                  <c:v>-12.266956809768349</c:v>
                </c:pt>
                <c:pt idx="813">
                  <c:v>-12.280573541723129</c:v>
                </c:pt>
                <c:pt idx="814">
                  <c:v>-12.294190311724522</c:v>
                </c:pt>
                <c:pt idx="815">
                  <c:v>-12.307807119772118</c:v>
                </c:pt>
                <c:pt idx="816">
                  <c:v>-12.321423965865508</c:v>
                </c:pt>
                <c:pt idx="817">
                  <c:v>-12.335040850004281</c:v>
                </c:pt>
                <c:pt idx="818">
                  <c:v>-12.34865777218803</c:v>
                </c:pt>
                <c:pt idx="819">
                  <c:v>-12.362274732416346</c:v>
                </c:pt>
                <c:pt idx="820">
                  <c:v>-12.375891730688817</c:v>
                </c:pt>
                <c:pt idx="821">
                  <c:v>-12.389508767005037</c:v>
                </c:pt>
                <c:pt idx="822">
                  <c:v>-12.403125841364593</c:v>
                </c:pt>
                <c:pt idx="823">
                  <c:v>-12.416742953767079</c:v>
                </c:pt>
                <c:pt idx="824">
                  <c:v>-12.430360104212083</c:v>
                </c:pt>
                <c:pt idx="825">
                  <c:v>-12.443977292699197</c:v>
                </c:pt>
                <c:pt idx="826">
                  <c:v>-12.457594519228012</c:v>
                </c:pt>
                <c:pt idx="827">
                  <c:v>-12.471211783798118</c:v>
                </c:pt>
                <c:pt idx="828">
                  <c:v>-12.484829086409105</c:v>
                </c:pt>
                <c:pt idx="829">
                  <c:v>-12.498446427060564</c:v>
                </c:pt>
                <c:pt idx="830">
                  <c:v>-12.512063805752087</c:v>
                </c:pt>
                <c:pt idx="831">
                  <c:v>-12.525681222483264</c:v>
                </c:pt>
                <c:pt idx="832">
                  <c:v>-12.539298677253685</c:v>
                </c:pt>
                <c:pt idx="833">
                  <c:v>-12.552916170062941</c:v>
                </c:pt>
                <c:pt idx="834">
                  <c:v>-12.566533700910623</c:v>
                </c:pt>
                <c:pt idx="835">
                  <c:v>-12.580151269796323</c:v>
                </c:pt>
                <c:pt idx="836">
                  <c:v>-12.593768876719629</c:v>
                </c:pt>
                <c:pt idx="837">
                  <c:v>-12.607386521680134</c:v>
                </c:pt>
                <c:pt idx="838">
                  <c:v>-12.621004204677426</c:v>
                </c:pt>
                <c:pt idx="839">
                  <c:v>-12.634621925711098</c:v>
                </c:pt>
                <c:pt idx="840">
                  <c:v>-12.648239684780739</c:v>
                </c:pt>
                <c:pt idx="841">
                  <c:v>-12.66185748188594</c:v>
                </c:pt>
                <c:pt idx="842">
                  <c:v>-12.675475317026294</c:v>
                </c:pt>
                <c:pt idx="843">
                  <c:v>-12.689093190201389</c:v>
                </c:pt>
                <c:pt idx="844">
                  <c:v>-12.702711101410816</c:v>
                </c:pt>
                <c:pt idx="845">
                  <c:v>-12.716329050654167</c:v>
                </c:pt>
                <c:pt idx="846">
                  <c:v>-12.729947037931032</c:v>
                </c:pt>
                <c:pt idx="847">
                  <c:v>-12.743565063241002</c:v>
                </c:pt>
                <c:pt idx="848">
                  <c:v>-12.757183126583667</c:v>
                </c:pt>
                <c:pt idx="849">
                  <c:v>-12.77080122795862</c:v>
                </c:pt>
                <c:pt idx="850">
                  <c:v>-12.784419367365448</c:v>
                </c:pt>
                <c:pt idx="851">
                  <c:v>-12.798037544803744</c:v>
                </c:pt>
                <c:pt idx="852">
                  <c:v>-12.811655760273098</c:v>
                </c:pt>
                <c:pt idx="853">
                  <c:v>-12.8252740137731</c:v>
                </c:pt>
                <c:pt idx="854">
                  <c:v>-12.838892305303343</c:v>
                </c:pt>
                <c:pt idx="855">
                  <c:v>-12.852510634863416</c:v>
                </c:pt>
                <c:pt idx="856">
                  <c:v>-12.86612900245291</c:v>
                </c:pt>
                <c:pt idx="857">
                  <c:v>-12.879747408071415</c:v>
                </c:pt>
                <c:pt idx="858">
                  <c:v>-12.893365851718523</c:v>
                </c:pt>
                <c:pt idx="859">
                  <c:v>-12.906984333393824</c:v>
                </c:pt>
                <c:pt idx="860">
                  <c:v>-12.920602853096909</c:v>
                </c:pt>
                <c:pt idx="861">
                  <c:v>-12.934221410827368</c:v>
                </c:pt>
                <c:pt idx="862">
                  <c:v>-12.947840006584793</c:v>
                </c:pt>
                <c:pt idx="863">
                  <c:v>-12.961458640368773</c:v>
                </c:pt>
                <c:pt idx="864">
                  <c:v>-12.9750773121789</c:v>
                </c:pt>
                <c:pt idx="865">
                  <c:v>-12.988696022014764</c:v>
                </c:pt>
                <c:pt idx="866">
                  <c:v>-13.002314769875957</c:v>
                </c:pt>
                <c:pt idx="867">
                  <c:v>-13.015933555762068</c:v>
                </c:pt>
                <c:pt idx="868">
                  <c:v>-13.029552379672689</c:v>
                </c:pt>
                <c:pt idx="869">
                  <c:v>-13.043171241607411</c:v>
                </c:pt>
                <c:pt idx="870">
                  <c:v>-13.056790141565823</c:v>
                </c:pt>
                <c:pt idx="871">
                  <c:v>-13.070409079547517</c:v>
                </c:pt>
                <c:pt idx="872">
                  <c:v>-13.084028055552084</c:v>
                </c:pt>
                <c:pt idx="873">
                  <c:v>-13.097647069579114</c:v>
                </c:pt>
                <c:pt idx="874">
                  <c:v>-13.111266121628198</c:v>
                </c:pt>
                <c:pt idx="875">
                  <c:v>-13.124885211698926</c:v>
                </c:pt>
                <c:pt idx="876">
                  <c:v>-13.13850433979089</c:v>
                </c:pt>
                <c:pt idx="877">
                  <c:v>-13.152123505903679</c:v>
                </c:pt>
                <c:pt idx="878">
                  <c:v>-13.165742710036886</c:v>
                </c:pt>
                <c:pt idx="879">
                  <c:v>-13.179361952190101</c:v>
                </c:pt>
                <c:pt idx="880">
                  <c:v>-13.192981232362914</c:v>
                </c:pt>
                <c:pt idx="881">
                  <c:v>-13.206600550554915</c:v>
                </c:pt>
                <c:pt idx="882">
                  <c:v>-13.220219906765697</c:v>
                </c:pt>
                <c:pt idx="883">
                  <c:v>-13.23383930099485</c:v>
                </c:pt>
                <c:pt idx="884">
                  <c:v>-13.247458733241963</c:v>
                </c:pt>
                <c:pt idx="885">
                  <c:v>-13.261078203506628</c:v>
                </c:pt>
                <c:pt idx="886">
                  <c:v>-13.274697711788436</c:v>
                </c:pt>
                <c:pt idx="887">
                  <c:v>-13.288317258086977</c:v>
                </c:pt>
                <c:pt idx="888">
                  <c:v>-13.301936842401842</c:v>
                </c:pt>
                <c:pt idx="889">
                  <c:v>-13.315556464732623</c:v>
                </c:pt>
                <c:pt idx="890">
                  <c:v>-13.329176125078909</c:v>
                </c:pt>
                <c:pt idx="891">
                  <c:v>-13.342795823440293</c:v>
                </c:pt>
                <c:pt idx="892">
                  <c:v>-13.356415559816364</c:v>
                </c:pt>
                <c:pt idx="893">
                  <c:v>-13.370035334206714</c:v>
                </c:pt>
                <c:pt idx="894">
                  <c:v>-13.383655146610931</c:v>
                </c:pt>
                <c:pt idx="895">
                  <c:v>-13.397274997028608</c:v>
                </c:pt>
                <c:pt idx="896">
                  <c:v>-13.410894885459335</c:v>
                </c:pt>
                <c:pt idx="897">
                  <c:v>-13.424514811902704</c:v>
                </c:pt>
                <c:pt idx="898">
                  <c:v>-13.438134776358304</c:v>
                </c:pt>
                <c:pt idx="899">
                  <c:v>-13.451754778825727</c:v>
                </c:pt>
                <c:pt idx="900">
                  <c:v>-13.465374819304563</c:v>
                </c:pt>
                <c:pt idx="901">
                  <c:v>-13.478994897794403</c:v>
                </c:pt>
                <c:pt idx="902">
                  <c:v>-13.492615014294838</c:v>
                </c:pt>
                <c:pt idx="903">
                  <c:v>-13.506235168805459</c:v>
                </c:pt>
                <c:pt idx="904">
                  <c:v>-13.519855361325856</c:v>
                </c:pt>
                <c:pt idx="905">
                  <c:v>-13.533475591855622</c:v>
                </c:pt>
                <c:pt idx="906">
                  <c:v>-13.547095860394345</c:v>
                </c:pt>
                <c:pt idx="907">
                  <c:v>-13.560716166941617</c:v>
                </c:pt>
                <c:pt idx="908">
                  <c:v>-13.574336511497028</c:v>
                </c:pt>
                <c:pt idx="909">
                  <c:v>-13.58795689406017</c:v>
                </c:pt>
                <c:pt idx="910">
                  <c:v>-13.601577314630633</c:v>
                </c:pt>
                <c:pt idx="911">
                  <c:v>-13.615197773208008</c:v>
                </c:pt>
                <c:pt idx="912">
                  <c:v>-13.628818269791886</c:v>
                </c:pt>
                <c:pt idx="913">
                  <c:v>-13.642438804381856</c:v>
                </c:pt>
                <c:pt idx="914">
                  <c:v>-13.656059376977511</c:v>
                </c:pt>
                <c:pt idx="915">
                  <c:v>-13.669679987578441</c:v>
                </c:pt>
                <c:pt idx="916">
                  <c:v>-13.683300636184237</c:v>
                </c:pt>
                <c:pt idx="917">
                  <c:v>-13.696921322794489</c:v>
                </c:pt>
                <c:pt idx="918">
                  <c:v>-13.71054204740879</c:v>
                </c:pt>
                <c:pt idx="919">
                  <c:v>-13.724162810026728</c:v>
                </c:pt>
                <c:pt idx="920">
                  <c:v>-13.737783610647895</c:v>
                </c:pt>
                <c:pt idx="921">
                  <c:v>-13.751404449271883</c:v>
                </c:pt>
                <c:pt idx="922">
                  <c:v>-13.76502532589828</c:v>
                </c:pt>
                <c:pt idx="923">
                  <c:v>-13.77864624052668</c:v>
                </c:pt>
                <c:pt idx="924">
                  <c:v>-13.79226719315667</c:v>
                </c:pt>
                <c:pt idx="925">
                  <c:v>-13.805888183787845</c:v>
                </c:pt>
                <c:pt idx="926">
                  <c:v>-13.819509212419794</c:v>
                </c:pt>
                <c:pt idx="927">
                  <c:v>-13.833130279052106</c:v>
                </c:pt>
                <c:pt idx="928">
                  <c:v>-13.846751383684374</c:v>
                </c:pt>
                <c:pt idx="929">
                  <c:v>-13.860372526316189</c:v>
                </c:pt>
                <c:pt idx="930">
                  <c:v>-13.87399370694714</c:v>
                </c:pt>
                <c:pt idx="931">
                  <c:v>-13.887614925576818</c:v>
                </c:pt>
                <c:pt idx="932">
                  <c:v>-13.901236182204816</c:v>
                </c:pt>
                <c:pt idx="933">
                  <c:v>-13.914857476830722</c:v>
                </c:pt>
                <c:pt idx="934">
                  <c:v>-13.928478809454129</c:v>
                </c:pt>
                <c:pt idx="935">
                  <c:v>-13.942100180074627</c:v>
                </c:pt>
                <c:pt idx="936">
                  <c:v>-13.955721588691807</c:v>
                </c:pt>
                <c:pt idx="937">
                  <c:v>-13.969343035305259</c:v>
                </c:pt>
                <c:pt idx="938">
                  <c:v>-13.982964519914576</c:v>
                </c:pt>
                <c:pt idx="939">
                  <c:v>-13.996586042519347</c:v>
                </c:pt>
                <c:pt idx="940">
                  <c:v>-14.010207603119163</c:v>
                </c:pt>
                <c:pt idx="941">
                  <c:v>-14.023829201713616</c:v>
                </c:pt>
                <c:pt idx="942">
                  <c:v>-14.037450838302295</c:v>
                </c:pt>
                <c:pt idx="943">
                  <c:v>-14.051072512884792</c:v>
                </c:pt>
                <c:pt idx="944">
                  <c:v>-14.064694225460697</c:v>
                </c:pt>
                <c:pt idx="945">
                  <c:v>-14.078315976029602</c:v>
                </c:pt>
                <c:pt idx="946">
                  <c:v>-14.091937764591096</c:v>
                </c:pt>
                <c:pt idx="947">
                  <c:v>-14.105559591144772</c:v>
                </c:pt>
                <c:pt idx="948">
                  <c:v>-14.119181455690219</c:v>
                </c:pt>
                <c:pt idx="949">
                  <c:v>-14.132803358227029</c:v>
                </c:pt>
                <c:pt idx="950">
                  <c:v>-14.146425298754792</c:v>
                </c:pt>
                <c:pt idx="951">
                  <c:v>-14.160047277273101</c:v>
                </c:pt>
                <c:pt idx="952">
                  <c:v>-14.173669293781543</c:v>
                </c:pt>
                <c:pt idx="953">
                  <c:v>-14.187291348279713</c:v>
                </c:pt>
                <c:pt idx="954">
                  <c:v>-14.200913440767199</c:v>
                </c:pt>
                <c:pt idx="955">
                  <c:v>-14.214535571243593</c:v>
                </c:pt>
                <c:pt idx="956">
                  <c:v>-14.228157739708484</c:v>
                </c:pt>
                <c:pt idx="957">
                  <c:v>-14.241779946161465</c:v>
                </c:pt>
                <c:pt idx="958">
                  <c:v>-14.255402190602126</c:v>
                </c:pt>
                <c:pt idx="959">
                  <c:v>-14.269024473030059</c:v>
                </c:pt>
                <c:pt idx="960">
                  <c:v>-14.282646793444854</c:v>
                </c:pt>
                <c:pt idx="961">
                  <c:v>-14.296269151846102</c:v>
                </c:pt>
                <c:pt idx="962">
                  <c:v>-14.309891548233393</c:v>
                </c:pt>
                <c:pt idx="963">
                  <c:v>-14.323513982606318</c:v>
                </c:pt>
                <c:pt idx="964">
                  <c:v>-14.337136454964469</c:v>
                </c:pt>
                <c:pt idx="965">
                  <c:v>-14.350758965307437</c:v>
                </c:pt>
                <c:pt idx="966">
                  <c:v>-14.364381513634811</c:v>
                </c:pt>
                <c:pt idx="967">
                  <c:v>-14.378004099946184</c:v>
                </c:pt>
                <c:pt idx="968">
                  <c:v>-14.391626724241144</c:v>
                </c:pt>
                <c:pt idx="969">
                  <c:v>-14.405249386519284</c:v>
                </c:pt>
                <c:pt idx="970">
                  <c:v>-14.418872086780194</c:v>
                </c:pt>
                <c:pt idx="971">
                  <c:v>-14.432494825023467</c:v>
                </c:pt>
                <c:pt idx="972">
                  <c:v>-14.446117601248691</c:v>
                </c:pt>
                <c:pt idx="973">
                  <c:v>-14.459740415455459</c:v>
                </c:pt>
                <c:pt idx="974">
                  <c:v>-14.473363267643361</c:v>
                </c:pt>
                <c:pt idx="975">
                  <c:v>-14.486986157811987</c:v>
                </c:pt>
                <c:pt idx="976">
                  <c:v>-14.50060908596093</c:v>
                </c:pt>
                <c:pt idx="977">
                  <c:v>-14.514232052089778</c:v>
                </c:pt>
                <c:pt idx="978">
                  <c:v>-14.527855056198124</c:v>
                </c:pt>
                <c:pt idx="979">
                  <c:v>-14.541478098285559</c:v>
                </c:pt>
                <c:pt idx="980">
                  <c:v>-14.555101178351673</c:v>
                </c:pt>
                <c:pt idx="981">
                  <c:v>-14.568724296396057</c:v>
                </c:pt>
                <c:pt idx="982">
                  <c:v>-14.582347452418302</c:v>
                </c:pt>
                <c:pt idx="983">
                  <c:v>-14.595970646417999</c:v>
                </c:pt>
                <c:pt idx="984">
                  <c:v>-14.609593878394739</c:v>
                </c:pt>
                <c:pt idx="985">
                  <c:v>-14.623217148348111</c:v>
                </c:pt>
                <c:pt idx="986">
                  <c:v>-14.636840456277708</c:v>
                </c:pt>
                <c:pt idx="987">
                  <c:v>-14.650463802183122</c:v>
                </c:pt>
                <c:pt idx="988">
                  <c:v>-14.664087186063941</c:v>
                </c:pt>
                <c:pt idx="989">
                  <c:v>-14.677710607919758</c:v>
                </c:pt>
                <c:pt idx="990">
                  <c:v>-14.691334067750162</c:v>
                </c:pt>
                <c:pt idx="991">
                  <c:v>-14.704957565554746</c:v>
                </c:pt>
                <c:pt idx="992">
                  <c:v>-14.7185811013331</c:v>
                </c:pt>
                <c:pt idx="993">
                  <c:v>-14.732204675084814</c:v>
                </c:pt>
                <c:pt idx="994">
                  <c:v>-14.745828286809481</c:v>
                </c:pt>
                <c:pt idx="995">
                  <c:v>-14.759451936506689</c:v>
                </c:pt>
                <c:pt idx="996">
                  <c:v>-14.77307562417603</c:v>
                </c:pt>
                <c:pt idx="997">
                  <c:v>-14.786699349817097</c:v>
                </c:pt>
                <c:pt idx="998">
                  <c:v>-14.800323113429478</c:v>
                </c:pt>
                <c:pt idx="999">
                  <c:v>-14.813946915012766</c:v>
                </c:pt>
                <c:pt idx="1000">
                  <c:v>-14.827570754566549</c:v>
                </c:pt>
              </c:numCache>
            </c:numRef>
          </c:yVal>
          <c:smooth val="0"/>
          <c:extLst>
            <c:ext xmlns:c16="http://schemas.microsoft.com/office/drawing/2014/chart" uri="{C3380CC4-5D6E-409C-BE32-E72D297353CC}">
              <c16:uniqueId val="{00000001-E4E2-4243-A3E4-C8EFD9A6247C}"/>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Barasinga (Pro54-5G C)</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0.05</c:v>
                </c:pt>
                <c:pt idx="2">
                  <c:v>0.5</c:v>
                </c:pt>
                <c:pt idx="3">
                  <c:v>1</c:v>
                </c:pt>
                <c:pt idx="4">
                  <c:v>1.5</c:v>
                </c:pt>
                <c:pt idx="5">
                  <c:v>2</c:v>
                </c:pt>
                <c:pt idx="6">
                  <c:v>2.5</c:v>
                </c:pt>
                <c:pt idx="7">
                  <c:v>2.97</c:v>
                </c:pt>
                <c:pt idx="8">
                  <c:v>3.2</c:v>
                </c:pt>
                <c:pt idx="9">
                  <c:v>3.47</c:v>
                </c:pt>
                <c:pt idx="10">
                  <c:v>3.59</c:v>
                </c:pt>
                <c:pt idx="11">
                  <c:v>3.59</c:v>
                </c:pt>
                <c:pt idx="12">
                  <c:v>3.59</c:v>
                </c:pt>
                <c:pt idx="13">
                  <c:v>3.59</c:v>
                </c:pt>
                <c:pt idx="14">
                  <c:v>3.59</c:v>
                </c:pt>
                <c:pt idx="15">
                  <c:v>3.59</c:v>
                </c:pt>
                <c:pt idx="16">
                  <c:v>3.59</c:v>
                </c:pt>
                <c:pt idx="17">
                  <c:v>3.59</c:v>
                </c:pt>
                <c:pt idx="18">
                  <c:v>3.59</c:v>
                </c:pt>
                <c:pt idx="19">
                  <c:v>3.59</c:v>
                </c:pt>
                <c:pt idx="20">
                  <c:v>3.59</c:v>
                </c:pt>
                <c:pt idx="21">
                  <c:v>3.59</c:v>
                </c:pt>
                <c:pt idx="22">
                  <c:v>3.59</c:v>
                </c:pt>
              </c:numCache>
            </c:numRef>
          </c:xVal>
          <c:yVal>
            <c:numRef>
              <c:f>Propu!$B$4:$X$4</c:f>
              <c:numCache>
                <c:formatCode>General</c:formatCode>
                <c:ptCount val="23"/>
                <c:pt idx="0">
                  <c:v>0</c:v>
                </c:pt>
                <c:pt idx="1">
                  <c:v>893</c:v>
                </c:pt>
                <c:pt idx="2">
                  <c:v>798</c:v>
                </c:pt>
                <c:pt idx="3">
                  <c:v>739</c:v>
                </c:pt>
                <c:pt idx="4">
                  <c:v>659</c:v>
                </c:pt>
                <c:pt idx="5">
                  <c:v>586</c:v>
                </c:pt>
                <c:pt idx="6">
                  <c:v>513</c:v>
                </c:pt>
                <c:pt idx="7">
                  <c:v>417</c:v>
                </c:pt>
                <c:pt idx="8">
                  <c:v>225</c:v>
                </c:pt>
                <c:pt idx="9">
                  <c:v>67</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FBD-49D5-9953-7F2D52005235}"/>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2" inc="25" max="30000" noThreeD="1" page="10" val="250"/>
</file>

<file path=xl/ctrlProps/ctrlProp10.xml><?xml version="1.0" encoding="utf-8"?>
<formControlPr xmlns="http://schemas.microsoft.com/office/spreadsheetml/2009/9/main" objectType="Spin" dx="15" fmlaLink="$C$32" max="6" min="3" noThreeD="1" page="10" val="4"/>
</file>

<file path=xl/ctrlProps/ctrlProp11.xml><?xml version="1.0" encoding="utf-8"?>
<formControlPr xmlns="http://schemas.microsoft.com/office/spreadsheetml/2009/9/main" objectType="Spin" dx="15" fmlaLink="$C$13" inc="50" max="30000" noThreeD="1" page="10" val="1800"/>
</file>

<file path=xl/ctrlProps/ctrlProp12.xml><?xml version="1.0" encoding="utf-8"?>
<formControlPr xmlns="http://schemas.microsoft.com/office/spreadsheetml/2009/9/main" objectType="Spin" dx="15" fmlaLink="$C$11" inc="100" max="30000" noThreeD="1" page="10" val="8000"/>
</file>

<file path=xl/ctrlProps/ctrlProp13.xml><?xml version="1.0" encoding="utf-8"?>
<formControlPr xmlns="http://schemas.microsoft.com/office/spreadsheetml/2009/9/main" objectType="Spin" dx="15" fmlaLink="$C$11" inc="100" max="30000" noThreeD="1" page="10" val="8000"/>
</file>

<file path=xl/ctrlProps/ctrlProp14.xml><?xml version="1.0" encoding="utf-8"?>
<formControlPr xmlns="http://schemas.microsoft.com/office/spreadsheetml/2009/9/main" objectType="Spin" dx="15" fmlaLink="Stabilito!C11" inc="100" max="30000" noThreeD="1" page="10" val="8000"/>
</file>

<file path=xl/ctrlProps/ctrlProp15.xml><?xml version="1.0" encoding="utf-8"?>
<formControlPr xmlns="http://schemas.microsoft.com/office/spreadsheetml/2009/9/main" objectType="Spin" dx="15" fmlaLink="$B$43" inc="50" max="30000" noThreeD="1" page="10" val="249"/>
</file>

<file path=xl/ctrlProps/ctrlProp16.xml><?xml version="1.0" encoding="utf-8"?>
<formControlPr xmlns="http://schemas.microsoft.com/office/spreadsheetml/2009/9/main" objectType="Spin" dx="15" fmlaLink="$B$45" inc="50" max="30000" noThreeD="1" page="10" val="199"/>
</file>

<file path=xl/ctrlProps/ctrlProp17.xml><?xml version="1.0" encoding="utf-8"?>
<formControlPr xmlns="http://schemas.microsoft.com/office/spreadsheetml/2009/9/main" objectType="Spin" dx="15" fmlaLink="$B$51" inc="50" max="30000" noThreeD="1" page="10" val="299"/>
</file>

<file path=xl/ctrlProps/ctrlProp18.xml><?xml version="1.0" encoding="utf-8"?>
<formControlPr xmlns="http://schemas.microsoft.com/office/spreadsheetml/2009/9/main" objectType="Spin" dx="15" fmlaLink="$B$53" inc="5" max="30000" noThreeD="1" page="10" val="29"/>
</file>

<file path=xl/ctrlProps/ctrlProp19.xml><?xml version="1.0" encoding="utf-8"?>
<formControlPr xmlns="http://schemas.microsoft.com/office/spreadsheetml/2009/9/main" objectType="Spin" dx="15" fmlaLink="Stabilito!C11" inc="100" max="30000" noThreeD="1" page="10" val="8000"/>
</file>

<file path=xl/ctrlProps/ctrlProp2.xml><?xml version="1.0" encoding="utf-8"?>
<formControlPr xmlns="http://schemas.microsoft.com/office/spreadsheetml/2009/9/main" objectType="Spin" dx="15" fmlaLink="$C$11" inc="100" max="30000" noThreeD="1" page="10" val="8000"/>
</file>

<file path=xl/ctrlProps/ctrlProp20.xml><?xml version="1.0" encoding="utf-8"?>
<formControlPr xmlns="http://schemas.microsoft.com/office/spreadsheetml/2009/9/main" objectType="Spin" dx="15" fmlaLink="Stabilito!C11" inc="100" max="30000" noThreeD="1" page="10" val="8000"/>
</file>

<file path=xl/ctrlProps/ctrlProp3.xml><?xml version="1.0" encoding="utf-8"?>
<formControlPr xmlns="http://schemas.microsoft.com/office/spreadsheetml/2009/9/main" objectType="Spin" dx="15" fmlaLink="$C$12" inc="50" max="30000" noThreeD="1" page="10" val="1100"/>
</file>

<file path=xl/ctrlProps/ctrlProp4.xml><?xml version="1.0" encoding="utf-8"?>
<formControlPr xmlns="http://schemas.microsoft.com/office/spreadsheetml/2009/9/main" objectType="Spin" dx="15" fmlaLink="$C$23" inc="20" max="30000" noThreeD="1" page="10" val="100"/>
</file>

<file path=xl/ctrlProps/ctrlProp5.xml><?xml version="1.0" encoding="utf-8"?>
<formControlPr xmlns="http://schemas.microsoft.com/office/spreadsheetml/2009/9/main" objectType="Spin" dx="15" fmlaLink="$C$27" inc="10" max="30000" noThreeD="1" page="10" val="220"/>
</file>

<file path=xl/ctrlProps/ctrlProp6.xml><?xml version="1.0" encoding="utf-8"?>
<formControlPr xmlns="http://schemas.microsoft.com/office/spreadsheetml/2009/9/main" objectType="Spin" dx="15" fmlaLink="$C$28" inc="10" max="30000" noThreeD="1" page="10" val="100"/>
</file>

<file path=xl/ctrlProps/ctrlProp7.xml><?xml version="1.0" encoding="utf-8"?>
<formControlPr xmlns="http://schemas.microsoft.com/office/spreadsheetml/2009/9/main" objectType="Spin" dx="15" fmlaLink="$C$29" inc="10" max="30000" noThreeD="1" page="10" val="200"/>
</file>

<file path=xl/ctrlProps/ctrlProp8.xml><?xml version="1.0" encoding="utf-8"?>
<formControlPr xmlns="http://schemas.microsoft.com/office/spreadsheetml/2009/9/main" objectType="Spin" dx="15" fmlaLink="$C$30" inc="10" max="30000" noThreeD="1" page="10" val="150"/>
</file>

<file path=xl/ctrlProps/ctrlProp9.xml><?xml version="1.0" encoding="utf-8"?>
<formControlPr xmlns="http://schemas.microsoft.com/office/spreadsheetml/2009/9/main" objectType="Spin" dx="15" fmlaLink="$C$31" max="30000" noThreeD="1" page="10" val="2"/>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599017" y="184426"/>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37</xdr:row>
      <xdr:rowOff>0</xdr:rowOff>
    </xdr:from>
    <xdr:to>
      <xdr:col>2</xdr:col>
      <xdr:colOff>850900</xdr:colOff>
      <xdr:row>48</xdr:row>
      <xdr:rowOff>69850</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565150</xdr:colOff>
      <xdr:row>9</xdr:row>
      <xdr:rowOff>12700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891540</xdr:colOff>
          <xdr:row>21</xdr:row>
          <xdr:rowOff>15240</xdr:rowOff>
        </xdr:from>
        <xdr:to>
          <xdr:col>4</xdr:col>
          <xdr:colOff>0</xdr:colOff>
          <xdr:row>22</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10</xdr:row>
          <xdr:rowOff>15240</xdr:rowOff>
        </xdr:from>
        <xdr:to>
          <xdr:col>3</xdr:col>
          <xdr:colOff>0</xdr:colOff>
          <xdr:row>11</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11</xdr:row>
          <xdr:rowOff>15240</xdr:rowOff>
        </xdr:from>
        <xdr:to>
          <xdr:col>3</xdr:col>
          <xdr:colOff>0</xdr:colOff>
          <xdr:row>12</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22</xdr:row>
          <xdr:rowOff>15240</xdr:rowOff>
        </xdr:from>
        <xdr:to>
          <xdr:col>4</xdr:col>
          <xdr:colOff>0</xdr:colOff>
          <xdr:row>23</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26</xdr:row>
          <xdr:rowOff>15240</xdr:rowOff>
        </xdr:from>
        <xdr:to>
          <xdr:col>3</xdr:col>
          <xdr:colOff>0</xdr:colOff>
          <xdr:row>27</xdr:row>
          <xdr:rowOff>0</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27</xdr:row>
          <xdr:rowOff>15240</xdr:rowOff>
        </xdr:from>
        <xdr:to>
          <xdr:col>3</xdr:col>
          <xdr:colOff>0</xdr:colOff>
          <xdr:row>28</xdr:row>
          <xdr:rowOff>0</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28</xdr:row>
          <xdr:rowOff>15240</xdr:rowOff>
        </xdr:from>
        <xdr:to>
          <xdr:col>3</xdr:col>
          <xdr:colOff>0</xdr:colOff>
          <xdr:row>29</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29</xdr:row>
          <xdr:rowOff>15240</xdr:rowOff>
        </xdr:from>
        <xdr:to>
          <xdr:col>3</xdr:col>
          <xdr:colOff>0</xdr:colOff>
          <xdr:row>30</xdr:row>
          <xdr:rowOff>0</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30</xdr:row>
          <xdr:rowOff>15240</xdr:rowOff>
        </xdr:from>
        <xdr:to>
          <xdr:col>3</xdr:col>
          <xdr:colOff>0</xdr:colOff>
          <xdr:row>31</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891540</xdr:colOff>
          <xdr:row>31</xdr:row>
          <xdr:rowOff>15240</xdr:rowOff>
        </xdr:from>
        <xdr:to>
          <xdr:col>3</xdr:col>
          <xdr:colOff>0</xdr:colOff>
          <xdr:row>32</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891540</xdr:colOff>
          <xdr:row>12</xdr:row>
          <xdr:rowOff>15240</xdr:rowOff>
        </xdr:from>
        <xdr:to>
          <xdr:col>4</xdr:col>
          <xdr:colOff>0</xdr:colOff>
          <xdr:row>13</xdr:row>
          <xdr:rowOff>0</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15240</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9</xdr:col>
      <xdr:colOff>0</xdr:colOff>
      <xdr:row>20</xdr:row>
      <xdr:rowOff>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20</xdr:row>
      <xdr:rowOff>0</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984250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139700</xdr:colOff>
      <xdr:row>38</xdr:row>
      <xdr:rowOff>120650</xdr:rowOff>
    </xdr:from>
    <xdr:to>
      <xdr:col>3</xdr:col>
      <xdr:colOff>723900</xdr:colOff>
      <xdr:row>46</xdr:row>
      <xdr:rowOff>0</xdr:rowOff>
    </xdr:to>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04620" y="6353810"/>
          <a:ext cx="1361440" cy="1220470"/>
          <a:chOff x="1362075" y="6410325"/>
          <a:chExt cx="1319468"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62415" y="7296150"/>
            <a:ext cx="35118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3672"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5400000">
            <a:off x="1838363" y="6388995"/>
            <a:ext cx="482283"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3672" y="6744970"/>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12198" y="6744970"/>
            <a:ext cx="0" cy="482283"/>
          </a:xfrm>
          <a:prstGeom prst="line">
            <a:avLst/>
          </a:prstGeom>
          <a:noFill/>
          <a:ln w="9525">
            <a:solidFill>
              <a:srgbClr val="000000"/>
            </a:solidFill>
            <a:round/>
            <a:headEnd/>
            <a:tailEnd/>
          </a:ln>
        </xdr:spPr>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5" y="6744970"/>
            <a:ext cx="0" cy="482283"/>
          </a:xfrm>
          <a:prstGeom prst="line">
            <a:avLst/>
          </a:prstGeom>
          <a:noFill/>
          <a:ln w="9525">
            <a:solidFill>
              <a:srgbClr val="000000"/>
            </a:solidFill>
            <a:round/>
            <a:headEnd type="triangle" w="med" len="med"/>
            <a:tailEnd type="triangle" w="med" len="med"/>
          </a:ln>
        </xdr:spPr>
      </xdr:sp>
    </xdr:grpSp>
    <xdr:clientData/>
  </xdr:twoCellAnchor>
  <xdr:twoCellAnchor>
    <xdr:from>
      <xdr:col>2</xdr:col>
      <xdr:colOff>260350</xdr:colOff>
      <xdr:row>49</xdr:row>
      <xdr:rowOff>19050</xdr:rowOff>
    </xdr:from>
    <xdr:to>
      <xdr:col>3</xdr:col>
      <xdr:colOff>514350</xdr:colOff>
      <xdr:row>54</xdr:row>
      <xdr:rowOff>120650</xdr:rowOff>
    </xdr:to>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9400" y="7981950"/>
          <a:ext cx="1047750" cy="927100"/>
        </a:xfrm>
        <a:prstGeom prst="ellipse">
          <a:avLst/>
        </a:prstGeom>
        <a:solidFill>
          <a:srgbClr val="F2F2F2"/>
        </a:solidFill>
        <a:ln w="9525">
          <a:solidFill>
            <a:srgbClr val="000000"/>
          </a:solidFill>
          <a:round/>
          <a:headEnd/>
          <a:tailEnd/>
        </a:ln>
      </xdr:spPr>
    </xdr:sp>
    <xdr:clientData/>
  </xdr:twoCellAnchor>
  <xdr:twoCellAnchor>
    <xdr:from>
      <xdr:col>2</xdr:col>
      <xdr:colOff>698500</xdr:colOff>
      <xdr:row>51</xdr:row>
      <xdr:rowOff>57150</xdr:rowOff>
    </xdr:from>
    <xdr:to>
      <xdr:col>3</xdr:col>
      <xdr:colOff>88900</xdr:colOff>
      <xdr:row>52</xdr:row>
      <xdr:rowOff>76200</xdr:rowOff>
    </xdr:to>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87550" y="8350250"/>
          <a:ext cx="184150" cy="184150"/>
        </a:xfrm>
        <a:prstGeom prst="ellipse">
          <a:avLst/>
        </a:prstGeom>
        <a:solidFill>
          <a:srgbClr val="FFFFFF"/>
        </a:solidFill>
        <a:ln w="9525">
          <a:solidFill>
            <a:srgbClr val="000000"/>
          </a:solidFill>
          <a:round/>
          <a:headEnd/>
          <a:tailEnd/>
        </a:ln>
      </xdr:spPr>
    </xdr:sp>
    <xdr:clientData/>
  </xdr:twoCellAnchor>
  <xdr:twoCellAnchor>
    <xdr:from>
      <xdr:col>3</xdr:col>
      <xdr:colOff>0</xdr:colOff>
      <xdr:row>49</xdr:row>
      <xdr:rowOff>19050</xdr:rowOff>
    </xdr:from>
    <xdr:to>
      <xdr:col>3</xdr:col>
      <xdr:colOff>0</xdr:colOff>
      <xdr:row>51</xdr:row>
      <xdr:rowOff>146050</xdr:rowOff>
    </xdr:to>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2800" y="7981950"/>
          <a:ext cx="0" cy="457200"/>
        </a:xfrm>
        <a:prstGeom prst="line">
          <a:avLst/>
        </a:prstGeom>
        <a:noFill/>
        <a:ln w="9525">
          <a:solidFill>
            <a:srgbClr val="000000"/>
          </a:solidFill>
          <a:round/>
          <a:headEnd type="triangle" w="med" len="med"/>
          <a:tailEnd type="triangle" w="med" len="med"/>
        </a:ln>
      </xdr:spPr>
    </xdr:sp>
    <xdr:clientData/>
  </xdr:twoCellAnchor>
  <xdr:twoCellAnchor>
    <xdr:from>
      <xdr:col>3</xdr:col>
      <xdr:colOff>0</xdr:colOff>
      <xdr:row>51</xdr:row>
      <xdr:rowOff>146050</xdr:rowOff>
    </xdr:from>
    <xdr:to>
      <xdr:col>3</xdr:col>
      <xdr:colOff>0</xdr:colOff>
      <xdr:row>52</xdr:row>
      <xdr:rowOff>88900</xdr:rowOff>
    </xdr:to>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flipH="1">
          <a:off x="2082800" y="8439150"/>
          <a:ext cx="0" cy="107950"/>
        </a:xfrm>
        <a:prstGeom prst="line">
          <a:avLst/>
        </a:prstGeom>
        <a:noFill/>
        <a:ln w="9525">
          <a:solidFill>
            <a:srgbClr val="000000"/>
          </a:solidFill>
          <a:round/>
          <a:headEnd type="triangle" w="sm" len="sm"/>
          <a:tailEnd type="triangle" w="sm" len="sm"/>
        </a:ln>
      </xdr:spPr>
    </xdr:sp>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42</xdr:row>
          <xdr:rowOff>15240</xdr:rowOff>
        </xdr:from>
        <xdr:to>
          <xdr:col>2</xdr:col>
          <xdr:colOff>0</xdr:colOff>
          <xdr:row>43</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44</xdr:row>
          <xdr:rowOff>15240</xdr:rowOff>
        </xdr:from>
        <xdr:to>
          <xdr:col>2</xdr:col>
          <xdr:colOff>0</xdr:colOff>
          <xdr:row>45</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50</xdr:row>
          <xdr:rowOff>15240</xdr:rowOff>
        </xdr:from>
        <xdr:to>
          <xdr:col>2</xdr:col>
          <xdr:colOff>0</xdr:colOff>
          <xdr:row>51</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22860</xdr:colOff>
          <xdr:row>93</xdr:row>
          <xdr:rowOff>76200</xdr:rowOff>
        </xdr:from>
        <xdr:to>
          <xdr:col>4</xdr:col>
          <xdr:colOff>68580</xdr:colOff>
          <xdr:row>99</xdr:row>
          <xdr:rowOff>91440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52</xdr:row>
          <xdr:rowOff>15240</xdr:rowOff>
        </xdr:from>
        <xdr:to>
          <xdr:col>2</xdr:col>
          <xdr:colOff>0</xdr:colOff>
          <xdr:row>53</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15240</xdr:colOff>
          <xdr:row>1010</xdr:row>
          <xdr:rowOff>99060</xdr:rowOff>
        </xdr:from>
        <xdr:to>
          <xdr:col>20</xdr:col>
          <xdr:colOff>289560</xdr:colOff>
          <xdr:row>1013</xdr:row>
          <xdr:rowOff>22860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1024</xdr:row>
          <xdr:rowOff>160020</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1006</xdr:row>
          <xdr:rowOff>22860</xdr:rowOff>
        </xdr:from>
        <xdr:to>
          <xdr:col>24</xdr:col>
          <xdr:colOff>152400</xdr:colOff>
          <xdr:row>1007</xdr:row>
          <xdr:rowOff>99060</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1017</xdr:row>
          <xdr:rowOff>167640</xdr:rowOff>
        </xdr:from>
        <xdr:to>
          <xdr:col>10</xdr:col>
          <xdr:colOff>586740</xdr:colOff>
          <xdr:row>1019</xdr:row>
          <xdr:rowOff>137160</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1014</xdr:row>
          <xdr:rowOff>175260</xdr:rowOff>
        </xdr:from>
        <xdr:to>
          <xdr:col>11</xdr:col>
          <xdr:colOff>266700</xdr:colOff>
          <xdr:row>1016</xdr:row>
          <xdr:rowOff>68580</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xdr:colOff>
          <xdr:row>1016</xdr:row>
          <xdr:rowOff>76200</xdr:rowOff>
        </xdr:from>
        <xdr:to>
          <xdr:col>11</xdr:col>
          <xdr:colOff>236220</xdr:colOff>
          <xdr:row>1017</xdr:row>
          <xdr:rowOff>160020</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68580</xdr:rowOff>
        </xdr:from>
        <xdr:to>
          <xdr:col>17</xdr:col>
          <xdr:colOff>274320</xdr:colOff>
          <xdr:row>1024</xdr:row>
          <xdr:rowOff>167640</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236220</xdr:colOff>
          <xdr:row>1010</xdr:row>
          <xdr:rowOff>91440</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99060</xdr:rowOff>
        </xdr:from>
        <xdr:to>
          <xdr:col>12</xdr:col>
          <xdr:colOff>243840</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1006</xdr:row>
          <xdr:rowOff>99060</xdr:rowOff>
        </xdr:from>
        <xdr:to>
          <xdr:col>3</xdr:col>
          <xdr:colOff>541020</xdr:colOff>
          <xdr:row>1007</xdr:row>
          <xdr:rowOff>175260</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175260</xdr:rowOff>
        </xdr:from>
        <xdr:to>
          <xdr:col>16</xdr:col>
          <xdr:colOff>0</xdr:colOff>
          <xdr:row>1026</xdr:row>
          <xdr:rowOff>144780</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1013</xdr:row>
          <xdr:rowOff>30480</xdr:rowOff>
        </xdr:from>
        <xdr:to>
          <xdr:col>21</xdr:col>
          <xdr:colOff>22860</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15240</xdr:colOff>
          <xdr:row>1005</xdr:row>
          <xdr:rowOff>15240</xdr:rowOff>
        </xdr:from>
        <xdr:to>
          <xdr:col>10</xdr:col>
          <xdr:colOff>403860</xdr:colOff>
          <xdr:row>1006</xdr:row>
          <xdr:rowOff>91440</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15240</xdr:rowOff>
        </xdr:from>
        <xdr:to>
          <xdr:col>8</xdr:col>
          <xdr:colOff>190500</xdr:colOff>
          <xdr:row>1014</xdr:row>
          <xdr:rowOff>167640</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15240</xdr:colOff>
          <xdr:row>1018</xdr:row>
          <xdr:rowOff>53340</xdr:rowOff>
        </xdr:from>
        <xdr:to>
          <xdr:col>24</xdr:col>
          <xdr:colOff>1082040</xdr:colOff>
          <xdr:row>1019</xdr:row>
          <xdr:rowOff>137160</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144780</xdr:rowOff>
        </xdr:from>
        <xdr:to>
          <xdr:col>20</xdr:col>
          <xdr:colOff>579120</xdr:colOff>
          <xdr:row>1022</xdr:row>
          <xdr:rowOff>53340</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53340</xdr:rowOff>
        </xdr:from>
        <xdr:to>
          <xdr:col>19</xdr:col>
          <xdr:colOff>182880</xdr:colOff>
          <xdr:row>1019</xdr:row>
          <xdr:rowOff>137160</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1007</xdr:row>
          <xdr:rowOff>121920</xdr:rowOff>
        </xdr:from>
        <xdr:to>
          <xdr:col>37</xdr:col>
          <xdr:colOff>281940</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15240</xdr:colOff>
          <xdr:row>1010</xdr:row>
          <xdr:rowOff>91440</xdr:rowOff>
        </xdr:from>
        <xdr:to>
          <xdr:col>35</xdr:col>
          <xdr:colOff>723900</xdr:colOff>
          <xdr:row>1013</xdr:row>
          <xdr:rowOff>45720</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22860</xdr:rowOff>
        </xdr:from>
        <xdr:to>
          <xdr:col>11</xdr:col>
          <xdr:colOff>556260</xdr:colOff>
          <xdr:row>1038</xdr:row>
          <xdr:rowOff>22860</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22860</xdr:rowOff>
        </xdr:from>
        <xdr:to>
          <xdr:col>12</xdr:col>
          <xdr:colOff>30480</xdr:colOff>
          <xdr:row>1043</xdr:row>
          <xdr:rowOff>22860</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15240</xdr:colOff>
          <xdr:row>1014</xdr:row>
          <xdr:rowOff>121920</xdr:rowOff>
        </xdr:from>
        <xdr:to>
          <xdr:col>20</xdr:col>
          <xdr:colOff>335280</xdr:colOff>
          <xdr:row>1016</xdr:row>
          <xdr:rowOff>15240</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251460</xdr:colOff>
          <xdr:row>1007</xdr:row>
          <xdr:rowOff>114300</xdr:rowOff>
        </xdr:from>
        <xdr:to>
          <xdr:col>32</xdr:col>
          <xdr:colOff>167640</xdr:colOff>
          <xdr:row>1010</xdr:row>
          <xdr:rowOff>91440</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30480</xdr:rowOff>
        </xdr:from>
        <xdr:to>
          <xdr:col>12</xdr:col>
          <xdr:colOff>335280</xdr:colOff>
          <xdr:row>1058</xdr:row>
          <xdr:rowOff>53340</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30480</xdr:rowOff>
        </xdr:from>
        <xdr:to>
          <xdr:col>15</xdr:col>
          <xdr:colOff>53340</xdr:colOff>
          <xdr:row>1063</xdr:row>
          <xdr:rowOff>53340</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30480</xdr:rowOff>
        </xdr:from>
        <xdr:to>
          <xdr:col>16</xdr:col>
          <xdr:colOff>670560</xdr:colOff>
          <xdr:row>1068</xdr:row>
          <xdr:rowOff>53340</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30480</xdr:rowOff>
        </xdr:from>
        <xdr:to>
          <xdr:col>16</xdr:col>
          <xdr:colOff>106680</xdr:colOff>
          <xdr:row>1048</xdr:row>
          <xdr:rowOff>30480</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30480</xdr:rowOff>
        </xdr:from>
        <xdr:to>
          <xdr:col>16</xdr:col>
          <xdr:colOff>388620</xdr:colOff>
          <xdr:row>1053</xdr:row>
          <xdr:rowOff>53340</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30480</xdr:rowOff>
        </xdr:from>
        <xdr:to>
          <xdr:col>12</xdr:col>
          <xdr:colOff>411480</xdr:colOff>
          <xdr:row>1073</xdr:row>
          <xdr:rowOff>53340</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30480</xdr:rowOff>
        </xdr:from>
        <xdr:to>
          <xdr:col>32</xdr:col>
          <xdr:colOff>419100</xdr:colOff>
          <xdr:row>1056</xdr:row>
          <xdr:rowOff>30480</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xdr:colOff>
          <xdr:row>1022</xdr:row>
          <xdr:rowOff>53340</xdr:rowOff>
        </xdr:from>
        <xdr:to>
          <xdr:col>32</xdr:col>
          <xdr:colOff>266700</xdr:colOff>
          <xdr:row>1024</xdr:row>
          <xdr:rowOff>137160</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22860</xdr:rowOff>
        </xdr:from>
        <xdr:to>
          <xdr:col>36</xdr:col>
          <xdr:colOff>167640</xdr:colOff>
          <xdr:row>1020</xdr:row>
          <xdr:rowOff>22860</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701040</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45720</xdr:rowOff>
        </xdr:from>
        <xdr:to>
          <xdr:col>35</xdr:col>
          <xdr:colOff>137160</xdr:colOff>
          <xdr:row>1023</xdr:row>
          <xdr:rowOff>45720</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68580</xdr:rowOff>
        </xdr:from>
        <xdr:to>
          <xdr:col>36</xdr:col>
          <xdr:colOff>53340</xdr:colOff>
          <xdr:row>1026</xdr:row>
          <xdr:rowOff>68580</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30480</xdr:rowOff>
        </xdr:from>
        <xdr:to>
          <xdr:col>34</xdr:col>
          <xdr:colOff>350520</xdr:colOff>
          <xdr:row>1051</xdr:row>
          <xdr:rowOff>91440</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17</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17</xdr:row>
      <xdr:rowOff>25400</xdr:rowOff>
    </xdr:from>
    <xdr:to>
      <xdr:col>12</xdr:col>
      <xdr:colOff>450850</xdr:colOff>
      <xdr:row>34</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17</xdr:row>
      <xdr:rowOff>25400</xdr:rowOff>
    </xdr:from>
    <xdr:to>
      <xdr:col>6</xdr:col>
      <xdr:colOff>450850</xdr:colOff>
      <xdr:row>34</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769620</xdr:colOff>
          <xdr:row>9</xdr:row>
          <xdr:rowOff>15240</xdr:rowOff>
        </xdr:from>
        <xdr:to>
          <xdr:col>4</xdr:col>
          <xdr:colOff>0</xdr:colOff>
          <xdr:row>10</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388620</xdr:colOff>
          <xdr:row>68</xdr:row>
          <xdr:rowOff>22860</xdr:rowOff>
        </xdr:from>
        <xdr:to>
          <xdr:col>12</xdr:col>
          <xdr:colOff>899160</xdr:colOff>
          <xdr:row>85</xdr:row>
          <xdr:rowOff>15240</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769620</xdr:colOff>
          <xdr:row>10</xdr:row>
          <xdr:rowOff>15240</xdr:rowOff>
        </xdr:from>
        <xdr:to>
          <xdr:col>4</xdr:col>
          <xdr:colOff>0</xdr:colOff>
          <xdr:row>11</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12700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53</xdr:row>
      <xdr:rowOff>44450</xdr:rowOff>
    </xdr:from>
    <xdr:to>
      <xdr:col>10</xdr:col>
      <xdr:colOff>609600</xdr:colOff>
      <xdr:row>81</xdr:row>
      <xdr:rowOff>25400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984250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283710" y="13614400"/>
          <a:ext cx="2223770" cy="385953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3427710" y="187960"/>
          <a:ext cx="2155190" cy="5262880"/>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topLeftCell="B10" zoomScale="115" zoomScaleNormal="115" zoomScaleSheetLayoutView="100" workbookViewId="0">
      <selection activeCell="D30" sqref="D30"/>
    </sheetView>
  </sheetViews>
  <sheetFormatPr baseColWidth="10" defaultColWidth="11.33203125" defaultRowHeight="13.2" x14ac:dyDescent="0.25"/>
  <cols>
    <col min="1" max="1" width="2.21875" style="35" customWidth="1"/>
    <col min="2" max="2" width="16.21875" style="35" customWidth="1"/>
    <col min="3" max="3" width="12.77734375" style="52" customWidth="1"/>
    <col min="4" max="4" width="12.77734375" style="35" customWidth="1"/>
    <col min="5" max="5" width="4.21875" style="119" customWidth="1"/>
    <col min="6" max="6" width="10.21875" style="56" bestFit="1" customWidth="1"/>
    <col min="7" max="7" width="10" style="56" bestFit="1" customWidth="1"/>
    <col min="8" max="9" width="8.6640625" style="56" customWidth="1"/>
    <col min="10" max="10" width="5.33203125" style="35" customWidth="1"/>
    <col min="11" max="11" width="2.21875" style="35" customWidth="1"/>
    <col min="12" max="12" width="17" style="35" customWidth="1"/>
    <col min="13" max="13" width="8.6640625" style="35" customWidth="1"/>
    <col min="14" max="15" width="4.21875" style="35" customWidth="1"/>
    <col min="16" max="16" width="8.6640625" style="35" customWidth="1"/>
    <col min="17" max="18" width="2.21875" style="35" customWidth="1"/>
    <col min="19" max="16384" width="11.33203125" style="35"/>
  </cols>
  <sheetData>
    <row r="1" spans="1:20" ht="12.75" customHeight="1" x14ac:dyDescent="0.25">
      <c r="A1" s="29"/>
      <c r="B1" s="30"/>
      <c r="C1" s="31"/>
      <c r="D1" s="30"/>
      <c r="E1" s="113"/>
      <c r="F1" s="32"/>
      <c r="G1" s="32"/>
      <c r="H1" s="32"/>
      <c r="I1" s="32"/>
      <c r="J1" s="30"/>
      <c r="K1" s="30"/>
      <c r="L1" s="30"/>
      <c r="M1" s="30"/>
      <c r="N1" s="30"/>
      <c r="O1" s="30"/>
      <c r="P1" s="30"/>
      <c r="Q1" s="33"/>
      <c r="R1" s="34"/>
    </row>
    <row r="2" spans="1:20" ht="12.75" customHeight="1" x14ac:dyDescent="0.25">
      <c r="A2" s="36"/>
      <c r="B2" s="34"/>
      <c r="C2" s="673" t="s">
        <v>54</v>
      </c>
      <c r="D2" s="673"/>
      <c r="E2" s="114"/>
      <c r="F2" s="37"/>
      <c r="G2" s="37"/>
      <c r="H2" s="37"/>
      <c r="I2" s="37"/>
      <c r="J2" s="34"/>
      <c r="K2" s="34"/>
      <c r="L2" s="180" t="str">
        <f>"Language/Langue"</f>
        <v>Language/Langue</v>
      </c>
      <c r="M2" s="649" t="s">
        <v>1</v>
      </c>
      <c r="N2" s="649"/>
      <c r="O2" s="649"/>
      <c r="P2" s="650"/>
      <c r="Q2" s="38"/>
      <c r="R2" s="34"/>
    </row>
    <row r="3" spans="1:20" ht="12.75" customHeight="1" x14ac:dyDescent="0.25">
      <c r="A3" s="36"/>
      <c r="B3" s="34"/>
      <c r="C3" s="673"/>
      <c r="D3" s="673"/>
      <c r="E3" s="114"/>
      <c r="F3" s="37"/>
      <c r="G3" s="37"/>
      <c r="H3" s="37"/>
      <c r="I3" s="37"/>
      <c r="J3" s="34"/>
      <c r="K3" s="34"/>
      <c r="L3" s="660"/>
      <c r="M3" s="660"/>
      <c r="N3" s="214"/>
      <c r="O3" s="34"/>
      <c r="P3" s="34"/>
      <c r="Q3" s="38"/>
      <c r="R3" s="34"/>
    </row>
    <row r="4" spans="1:20" ht="12.75" customHeight="1" x14ac:dyDescent="0.25">
      <c r="A4" s="36"/>
      <c r="B4" s="34"/>
      <c r="C4" s="674" t="str">
        <f>IF(Lang="Français","Stabilité de fusée à ailerons",IF(Lang="English","Stability for rocket with fins",""))</f>
        <v>Stabilité de fusée à ailerons</v>
      </c>
      <c r="D4" s="674"/>
      <c r="E4" s="114"/>
      <c r="F4" s="37"/>
      <c r="G4" s="37"/>
      <c r="H4" s="37"/>
      <c r="I4" s="37"/>
      <c r="J4" s="34"/>
      <c r="K4" s="34"/>
      <c r="L4" s="45"/>
      <c r="M4" s="649" t="s">
        <v>552</v>
      </c>
      <c r="N4" s="649"/>
      <c r="O4" s="649"/>
      <c r="P4" s="650"/>
      <c r="Q4" s="38"/>
      <c r="R4" s="34"/>
    </row>
    <row r="5" spans="1:20" ht="12.75" customHeight="1" x14ac:dyDescent="0.3">
      <c r="A5" s="36"/>
      <c r="B5" s="39"/>
      <c r="C5" s="688"/>
      <c r="D5" s="688"/>
      <c r="E5" s="114"/>
      <c r="F5" s="37"/>
      <c r="G5" s="37"/>
      <c r="H5" s="37"/>
      <c r="I5" s="37"/>
      <c r="J5" s="34"/>
      <c r="K5" s="34"/>
      <c r="L5" s="45"/>
      <c r="M5" s="680" t="s">
        <v>157</v>
      </c>
      <c r="N5" s="681"/>
      <c r="O5" s="663" t="s">
        <v>158</v>
      </c>
      <c r="P5" s="663"/>
      <c r="Q5" s="40"/>
      <c r="R5" s="34"/>
    </row>
    <row r="6" spans="1:20" ht="12.75" customHeight="1" thickBot="1" x14ac:dyDescent="0.3">
      <c r="A6" s="36"/>
      <c r="B6" s="111"/>
      <c r="C6" s="698" t="str">
        <f>IF(Lang="Français","Remplir les cases jaunes",IF(Lang="English","Fill-in yellow cells only",""))</f>
        <v>Remplir les cases jaunes</v>
      </c>
      <c r="D6" s="698"/>
      <c r="E6" s="114"/>
      <c r="F6" s="37"/>
      <c r="G6" s="37"/>
      <c r="H6" s="37"/>
      <c r="I6" s="37"/>
      <c r="J6" s="34"/>
      <c r="K6" s="34"/>
      <c r="L6" s="172" t="str">
        <f>IF(Lang="Français","Longueur      'L'",IF(Lang="English","Length      'L'",""))</f>
        <v>Longueur      'L'</v>
      </c>
      <c r="M6" s="669">
        <v>50</v>
      </c>
      <c r="N6" s="670"/>
      <c r="O6" s="655">
        <v>50</v>
      </c>
      <c r="P6" s="655"/>
      <c r="Q6" s="40"/>
      <c r="R6" s="34"/>
    </row>
    <row r="7" spans="1:20" ht="12.75" customHeight="1" thickTop="1" thickBot="1" x14ac:dyDescent="0.3">
      <c r="A7" s="36"/>
      <c r="B7" s="42"/>
      <c r="C7" s="676" t="str">
        <f>IF(Lang="Français","Fusée",IF(Lang="English","Rocket",""))</f>
        <v>Fusée</v>
      </c>
      <c r="D7" s="677"/>
      <c r="E7" s="114"/>
      <c r="F7" s="37"/>
      <c r="G7" s="37"/>
      <c r="H7" s="37"/>
      <c r="I7" s="37"/>
      <c r="J7" s="34"/>
      <c r="K7" s="34"/>
      <c r="L7" s="172" t="str">
        <f>IF(Lang="Français","Diamètre     'D1'",IF(Lang="English","Diameter 'D1'",""))</f>
        <v>Diamètre     'D1'</v>
      </c>
      <c r="M7" s="669">
        <f>D_og</f>
        <v>100</v>
      </c>
      <c r="N7" s="670"/>
      <c r="O7" s="655">
        <f>D2j</f>
        <v>80</v>
      </c>
      <c r="P7" s="655"/>
      <c r="Q7" s="40"/>
      <c r="R7" s="34"/>
    </row>
    <row r="8" spans="1:20" ht="12.75" customHeight="1" thickTop="1" x14ac:dyDescent="0.25">
      <c r="A8" s="36"/>
      <c r="B8" s="171" t="str">
        <f>IF(Lang="Français","Nom",IF(Lang="English","Name",""))</f>
        <v>Nom</v>
      </c>
      <c r="C8" s="699" t="s">
        <v>557</v>
      </c>
      <c r="D8" s="699"/>
      <c r="E8" s="115"/>
      <c r="F8" s="37"/>
      <c r="G8" s="37"/>
      <c r="H8" s="37"/>
      <c r="I8" s="37"/>
      <c r="J8" s="34"/>
      <c r="K8" s="44"/>
      <c r="L8" s="172" t="str">
        <f>IF(Lang="Français","Diamètre     'D2'",IF(Lang="English","Diameter 'D2'",""))</f>
        <v>Diamètre     'D2'</v>
      </c>
      <c r="M8" s="669">
        <v>80</v>
      </c>
      <c r="N8" s="670"/>
      <c r="O8" s="655">
        <f>D_og</f>
        <v>100</v>
      </c>
      <c r="P8" s="655"/>
      <c r="Q8" s="40"/>
      <c r="R8" s="34"/>
    </row>
    <row r="9" spans="1:20" ht="12.75" customHeight="1" x14ac:dyDescent="0.25">
      <c r="A9" s="36"/>
      <c r="B9" s="171" t="s">
        <v>4</v>
      </c>
      <c r="C9" s="700" t="s">
        <v>558</v>
      </c>
      <c r="D9" s="700"/>
      <c r="E9" s="115"/>
      <c r="F9" s="37"/>
      <c r="G9" s="37"/>
      <c r="H9" s="37"/>
      <c r="I9" s="37"/>
      <c r="J9" s="34"/>
      <c r="K9" s="44"/>
      <c r="L9" s="172" t="str">
        <f>IF(Lang="Français","Implantation 'x'",IF(Lang="English","Basement 'x'",""))</f>
        <v>Implantation 'x'</v>
      </c>
      <c r="M9" s="669">
        <v>300</v>
      </c>
      <c r="N9" s="670"/>
      <c r="O9" s="655">
        <v>500</v>
      </c>
      <c r="P9" s="655"/>
      <c r="Q9" s="40"/>
      <c r="R9" s="34"/>
    </row>
    <row r="10" spans="1:20" ht="12.75" customHeight="1" x14ac:dyDescent="0.25">
      <c r="A10" s="36"/>
      <c r="B10" s="172" t="s">
        <v>55</v>
      </c>
      <c r="C10" s="678" t="s">
        <v>559</v>
      </c>
      <c r="D10" s="679"/>
      <c r="E10" s="115"/>
      <c r="F10" s="37"/>
      <c r="G10" s="37"/>
      <c r="H10" s="37"/>
      <c r="I10" s="37"/>
      <c r="J10" s="34"/>
      <c r="K10" s="44"/>
      <c r="L10" s="34"/>
      <c r="M10" s="34"/>
      <c r="N10" s="34"/>
      <c r="O10" s="34"/>
      <c r="P10" s="34"/>
      <c r="Q10" s="40"/>
      <c r="R10" s="34"/>
    </row>
    <row r="11" spans="1:20" ht="12.75" customHeight="1" x14ac:dyDescent="0.25">
      <c r="A11" s="36"/>
      <c r="B11" s="172" t="str">
        <f>IF(Lang="Français","Masse",IF(Lang="English","Weight",""))</f>
        <v>Masse</v>
      </c>
      <c r="C11" s="260">
        <v>8000</v>
      </c>
      <c r="D11" s="47" t="s">
        <v>425</v>
      </c>
      <c r="E11" s="116"/>
      <c r="F11" s="37"/>
      <c r="G11" s="37"/>
      <c r="H11" s="37"/>
      <c r="I11" s="37"/>
      <c r="J11" s="34"/>
      <c r="K11" s="45"/>
      <c r="L11" s="136"/>
      <c r="M11" s="262" t="str">
        <f>IF(Lang="Français","Propu plein",IF(Lang="English","Loaded Motor",""))</f>
        <v>Propu plein</v>
      </c>
      <c r="N11" s="661" t="str">
        <f>IF(Lang="Français","Propu vide",IF(Lang="English","Empty Motor",""))</f>
        <v>Propu vide</v>
      </c>
      <c r="O11" s="662"/>
      <c r="P11" s="262" t="str">
        <f>IF(Lang="Français","Sans propu",IF(Lang="English","Without M",""))</f>
        <v>Sans propu</v>
      </c>
      <c r="Q11" s="40"/>
      <c r="R11" s="34"/>
      <c r="S11" s="446"/>
      <c r="T11" s="447" t="str">
        <f>IF(Lang="Français","Propulseur",IF(Lang="English","Motor",""))</f>
        <v>Propulseur</v>
      </c>
    </row>
    <row r="12" spans="1:20" ht="12.75" customHeight="1" x14ac:dyDescent="0.25">
      <c r="A12" s="36"/>
      <c r="B12" s="172" t="str">
        <f>IF(Lang="Français","Centre de Masse",IF(Lang="English","Center of Mass",""))</f>
        <v>Centre de Masse</v>
      </c>
      <c r="C12" s="48">
        <v>1100</v>
      </c>
      <c r="D12" s="47" t="s">
        <v>425</v>
      </c>
      <c r="E12" s="114"/>
      <c r="F12" s="37"/>
      <c r="G12" s="37"/>
      <c r="H12" s="37"/>
      <c r="I12" s="37"/>
      <c r="J12" s="34"/>
      <c r="K12" s="34"/>
      <c r="L12" s="137" t="str">
        <f>IF(Lang="Français","Masse propu",IF(Lang="English","Motor Mass",""))</f>
        <v>Masse propu</v>
      </c>
      <c r="M12" s="138">
        <f ca="1">MpropuPlein</f>
        <v>1.6850000000000001</v>
      </c>
      <c r="N12" s="653">
        <f ca="1">MpropuVide</f>
        <v>0.65200000000000002</v>
      </c>
      <c r="O12" s="654"/>
      <c r="P12" s="139" t="s">
        <v>14</v>
      </c>
      <c r="Q12" s="40"/>
      <c r="R12" s="34"/>
      <c r="S12" s="447" t="str">
        <f>IF(Lang="Français","Haut",IF(Lang="English","Top",""))</f>
        <v>Haut</v>
      </c>
      <c r="T12" s="448">
        <f ca="1">XpropuRef-Long_propu</f>
        <v>1312</v>
      </c>
    </row>
    <row r="13" spans="1:20" ht="12.75" customHeight="1" x14ac:dyDescent="0.25">
      <c r="A13" s="36"/>
      <c r="B13" s="172" t="str">
        <f>IF(Lang="Français","Longueur totale",IF(Lang="English","Total length",""))</f>
        <v>Longueur totale</v>
      </c>
      <c r="C13" s="669">
        <v>1800</v>
      </c>
      <c r="D13" s="670"/>
      <c r="E13" s="114"/>
      <c r="F13" s="37"/>
      <c r="G13" s="37"/>
      <c r="H13" s="37"/>
      <c r="I13" s="37"/>
      <c r="J13" s="34"/>
      <c r="K13" s="34"/>
      <c r="L13" s="137" t="str">
        <f>IF(Lang="Français","CdM propu",IF(Lang="English","Motor CoM",""))</f>
        <v>CdM propu</v>
      </c>
      <c r="M13" s="140">
        <f ca="1">XpropuPlein</f>
        <v>250</v>
      </c>
      <c r="N13" s="651">
        <f ca="1">XpropuVide</f>
        <v>240</v>
      </c>
      <c r="O13" s="652"/>
      <c r="P13" s="139" t="s">
        <v>14</v>
      </c>
      <c r="Q13" s="40"/>
      <c r="R13" s="34"/>
      <c r="S13" s="447" t="str">
        <f>IF(Lang="Français","Longueur",IF(Lang="English","Length",""))</f>
        <v>Longueur</v>
      </c>
      <c r="T13" s="448">
        <f ca="1">Long_propu</f>
        <v>488</v>
      </c>
    </row>
    <row r="14" spans="1:20" ht="12.75" customHeight="1" x14ac:dyDescent="0.25">
      <c r="A14" s="36"/>
      <c r="B14" s="172" t="str">
        <f>IF(Lang="Français","Diamètre Réf.",IF(Lang="English","Ref. Diameter",""))</f>
        <v>Diamètre Réf.</v>
      </c>
      <c r="C14" s="669">
        <f>D_og</f>
        <v>100</v>
      </c>
      <c r="D14" s="670"/>
      <c r="E14" s="114"/>
      <c r="F14" s="37"/>
      <c r="G14" s="37"/>
      <c r="H14" s="37"/>
      <c r="I14" s="37"/>
      <c r="J14" s="34"/>
      <c r="K14" s="34"/>
      <c r="L14" s="137" t="str">
        <f>IF(Lang="Français","Masse fusée",IF(Lang="English","Rocket Mass",""))</f>
        <v>Masse fusée</v>
      </c>
      <c r="M14" s="141">
        <f ca="1">MasseSans+MpropuPlein</f>
        <v>9.6850000000000005</v>
      </c>
      <c r="N14" s="682">
        <f ca="1">MasseSans+MpropuVide</f>
        <v>8.6519999999999992</v>
      </c>
      <c r="O14" s="683"/>
      <c r="P14" s="138">
        <f>IF(OR(D11="sans propu",D11="without motor"),C11/1000,IF(OR(D11="avec propu vide",D11="with empty motor"),C11/1000-MpropuVide,IF(OR(D11="avec propu plein",D11="with loaded motor"),C11/1000-MpropuPlein,"Erreur")))</f>
        <v>8</v>
      </c>
      <c r="Q14" s="40"/>
      <c r="R14" s="34"/>
      <c r="S14" s="447" t="str">
        <f>IF(Lang="Français","Bas",IF(Lang="English","Base",""))</f>
        <v>Bas</v>
      </c>
      <c r="T14" s="448">
        <f>XpropuRef</f>
        <v>1800</v>
      </c>
    </row>
    <row r="15" spans="1:20" ht="12.75" customHeight="1" thickBot="1" x14ac:dyDescent="0.3">
      <c r="A15" s="36"/>
      <c r="B15" s="34"/>
      <c r="C15" s="42"/>
      <c r="D15" s="42"/>
      <c r="E15" s="114"/>
      <c r="F15" s="37"/>
      <c r="G15" s="37"/>
      <c r="H15" s="37"/>
      <c r="I15" s="37"/>
      <c r="J15" s="34"/>
      <c r="K15" s="34"/>
      <c r="L15" s="208" t="str">
        <f>IF(Lang="Français","CdM fusée",IF(Lang="English","Rocket CoM",""))</f>
        <v>CdM fusée</v>
      </c>
      <c r="M15" s="209">
        <f ca="1">(XcgSans*MasseSans+(XpropuRef-Long_propu+XpropuPlein)*MpropuPlein)/MassePlein</f>
        <v>1180.3789364997419</v>
      </c>
      <c r="N15" s="684">
        <f ca="1">(XcgSans*MasseSans+(XpropuRef-Long_propu+XpropuVide)*MpropuVide)/MasseVide</f>
        <v>1134.06195099399</v>
      </c>
      <c r="O15" s="685"/>
      <c r="P15" s="142">
        <f>IF(OR(D12="sans propu",D12="without motor"),C12,IF(OR(D12="avec propu vide",D12="with empty motor"),(C12*MasseVide-(XpropuRef-Long_propu+XpropuVide)*MpropuVide)/MasseSans,IF(OR(D12="avec propu plein",D12="with loaded motor"),(C12*MassePlein-(XpropuRef-Long_propu+XpropuPlein)*MpropuPlein)/MasseSans,"Erreur")))</f>
        <v>1100</v>
      </c>
      <c r="Q15" s="40"/>
      <c r="R15" s="34"/>
    </row>
    <row r="16" spans="1:20" ht="12.75" customHeight="1" thickTop="1" thickBot="1" x14ac:dyDescent="0.3">
      <c r="A16" s="36"/>
      <c r="B16" s="34"/>
      <c r="C16" s="690" t="str">
        <f>IF(Lang="Français","Propulseur",IF(Lang="English","Motor",""))</f>
        <v>Propulseur</v>
      </c>
      <c r="D16" s="691"/>
      <c r="E16" s="114"/>
      <c r="F16" s="37"/>
      <c r="G16" s="37"/>
      <c r="H16" s="37"/>
      <c r="I16" s="37"/>
      <c r="J16" s="34"/>
      <c r="K16" s="34"/>
      <c r="L16" s="123"/>
      <c r="M16" s="123"/>
      <c r="N16" s="123"/>
      <c r="O16" s="123"/>
      <c r="P16" s="123"/>
      <c r="Q16" s="40"/>
      <c r="R16" s="34"/>
      <c r="S16" s="446"/>
      <c r="T16" s="447" t="str">
        <f>IF(RIGHT(Type_masquage,1)=",",IF(Lang="Français","Ailerons","Fins"),IF(Lang="Français","Ailerons bas","Lower Fins"))</f>
        <v>Ailerons bas</v>
      </c>
    </row>
    <row r="17" spans="1:20" ht="12.75" customHeight="1" thickTop="1" x14ac:dyDescent="0.25">
      <c r="A17" s="36"/>
      <c r="B17" s="172" t="s">
        <v>55</v>
      </c>
      <c r="C17" s="692" t="s">
        <v>554</v>
      </c>
      <c r="D17" s="693"/>
      <c r="E17" s="114"/>
      <c r="F17" s="37"/>
      <c r="G17" s="37"/>
      <c r="H17" s="37"/>
      <c r="I17" s="37"/>
      <c r="J17" s="34"/>
      <c r="K17" s="34"/>
      <c r="L17" s="143"/>
      <c r="M17" s="686" t="s">
        <v>56</v>
      </c>
      <c r="N17" s="687"/>
      <c r="O17" s="664" t="s">
        <v>66</v>
      </c>
      <c r="P17" s="664"/>
      <c r="Q17" s="40"/>
      <c r="R17" s="34"/>
      <c r="S17" s="447" t="str">
        <f>IF(Lang="Français","Haut","Top")</f>
        <v>Haut</v>
      </c>
      <c r="T17" s="448">
        <f>X_ail-m_ail</f>
        <v>1580</v>
      </c>
    </row>
    <row r="18" spans="1:20" ht="12.75" customHeight="1" x14ac:dyDescent="0.25">
      <c r="A18" s="36"/>
      <c r="B18" s="172" t="str">
        <f>IF(Lang="Français","Position du bas",IF(Lang="English","Basement",""))</f>
        <v>Position du bas</v>
      </c>
      <c r="C18" s="655">
        <f>Long_tot</f>
        <v>1800</v>
      </c>
      <c r="D18" s="655"/>
      <c r="F18" s="37"/>
      <c r="G18" s="37"/>
      <c r="H18" s="37"/>
      <c r="I18" s="37"/>
      <c r="J18" s="34"/>
      <c r="K18" s="50"/>
      <c r="L18" s="137" t="str">
        <f>IF(Lang="Français","Coiffe",IF(Lang="English","Nose Cone",""))</f>
        <v>Coiffe</v>
      </c>
      <c r="M18" s="658">
        <f>IF(LEFT(Forme_ogive,5)="Parab",1/2*Long_ogive,IF(LEFT(Forme_ogive,4)="Ogiv",7/15*Long_ogive,IF(LEFT(Forme_ogive,3)="Con",2/3*Long_ogive)))</f>
        <v>116.66666666666667</v>
      </c>
      <c r="N18" s="659"/>
      <c r="O18" s="665">
        <f>2*POWER(D_og/D_ref, 2)</f>
        <v>2</v>
      </c>
      <c r="P18" s="665"/>
      <c r="Q18" s="40"/>
      <c r="R18" s="34"/>
      <c r="S18" s="447" t="str">
        <f>IF(Lang="Français","Emplanture","Root edge")</f>
        <v>Emplanture</v>
      </c>
      <c r="T18" s="448">
        <f>m_ail</f>
        <v>220</v>
      </c>
    </row>
    <row r="19" spans="1:20" ht="12.75" customHeight="1" thickBot="1" x14ac:dyDescent="0.3">
      <c r="A19" s="36"/>
      <c r="B19" s="493" t="str">
        <f>IF(Propu="Cariacou","Cariacou :"," ")</f>
        <v xml:space="preserve"> </v>
      </c>
      <c r="C19" s="668" t="str">
        <f>IF(Propu="Pandora (Pro24-6G)",IF(Lang="Français","C'Space Seulement",IF(Lang="English","C'Space only","")),"")</f>
        <v/>
      </c>
      <c r="D19" s="668"/>
      <c r="E19" s="114"/>
      <c r="F19" s="37"/>
      <c r="G19" s="37"/>
      <c r="H19" s="37"/>
      <c r="I19" s="37"/>
      <c r="J19" s="34"/>
      <c r="K19" s="34"/>
      <c r="L19" s="137" t="str">
        <f>IF(Lang="Français","Ailerons",IF(Lang="English","Fins",""))</f>
        <v>Ailerons</v>
      </c>
      <c r="M19" s="658">
        <f>(XCpa*Cnail-0.5*XCpi*Cni)/Cnai</f>
        <v>1709.375</v>
      </c>
      <c r="N19" s="659"/>
      <c r="O19" s="694">
        <f>Cnail-Cni/2</f>
        <v>17.135014339693754</v>
      </c>
      <c r="P19" s="695"/>
      <c r="Q19" s="40"/>
      <c r="R19" s="34"/>
      <c r="S19" s="447" t="str">
        <f>IF(Lang="Français","Bas","Base")</f>
        <v>Bas</v>
      </c>
      <c r="T19" s="448">
        <f>X_ail</f>
        <v>1800</v>
      </c>
    </row>
    <row r="20" spans="1:20" ht="12.75" customHeight="1" thickTop="1" thickBot="1" x14ac:dyDescent="0.3">
      <c r="A20" s="36"/>
      <c r="B20" s="51"/>
      <c r="C20" s="696" t="str">
        <f>IF(Lang="Français","Coiffe",IF(Lang="English","Nose Cone",""))</f>
        <v>Coiffe</v>
      </c>
      <c r="D20" s="697"/>
      <c r="E20" s="114"/>
      <c r="F20" s="37"/>
      <c r="G20" s="37"/>
      <c r="H20" s="37"/>
      <c r="I20" s="37"/>
      <c r="J20" s="34"/>
      <c r="K20" s="34"/>
      <c r="L20" s="137" t="str">
        <f>IF(Lang="Français","Ail bas entier",IF(Lang="English","Total Lower Fins",""))</f>
        <v>Ail bas entier</v>
      </c>
      <c r="M20" s="658">
        <f>X_ail-m_ail+p_ail*(m_ail+2*n_ail)/(3*(m_ail+n_ail))+(m_ail+n_ail-m_ail*n_ail/(m_ail+n_ail))/6</f>
        <v>1709.375</v>
      </c>
      <c r="N20" s="659"/>
      <c r="O20" s="665">
        <f>4*Q_ail*POWER((E_ail/D_ref),2)*(1+D_ail/(2*E_ail+D_ail))/(1+SQRT(1+POWER(2*f_ail/(m_ail+n_ail),2)))</f>
        <v>17.135014339693754</v>
      </c>
      <c r="P20" s="665"/>
      <c r="Q20" s="40"/>
      <c r="R20" s="34"/>
    </row>
    <row r="21" spans="1:20" ht="12.75" customHeight="1" thickTop="1" x14ac:dyDescent="0.25">
      <c r="A21" s="36"/>
      <c r="B21" s="172" t="str">
        <f>IF(Lang="Français","Forme",IF(Lang="English","Shape",""))</f>
        <v>Forme</v>
      </c>
      <c r="C21" s="671" t="s">
        <v>550</v>
      </c>
      <c r="D21" s="672"/>
      <c r="E21" s="114"/>
      <c r="F21" s="37"/>
      <c r="G21" s="37"/>
      <c r="H21" s="37"/>
      <c r="I21" s="37"/>
      <c r="J21" s="34"/>
      <c r="K21" s="34"/>
      <c r="L21" s="137" t="str">
        <f>IF(Lang="Français","Ailerons haut",IF(Lang="English","Upper Fins",""))</f>
        <v>Ailerons haut</v>
      </c>
      <c r="M21" s="658">
        <f>IF(LEFT(Type_masquage,1)="M",0, X_can-m_can+p_can*(m_can+2*n_can)/(3*(m_can+n_can))+(m_can+n_can-m_can*n_can/(m_can+n_can))/6)</f>
        <v>0</v>
      </c>
      <c r="N21" s="659"/>
      <c r="O21" s="665">
        <f>IF(LEFT(Type_masquage,1)="M",0, 4*Q_can*POWER((E_can/D_ref),2)*(1+D_can/(2*E_can+D_can))/(1+SQRT(1+POWER(2*f_can/(m_can+n_can),2))))</f>
        <v>0</v>
      </c>
      <c r="P21" s="665"/>
      <c r="Q21" s="40"/>
      <c r="R21" s="34"/>
    </row>
    <row r="22" spans="1:20" ht="12.75" customHeight="1" x14ac:dyDescent="0.25">
      <c r="A22" s="36"/>
      <c r="B22" s="172" t="str">
        <f>IF(Lang="Français","Hauteur",IF(Lang="English","Heigth",""))</f>
        <v>Hauteur</v>
      </c>
      <c r="C22" s="669">
        <v>250</v>
      </c>
      <c r="D22" s="670"/>
      <c r="E22" s="114"/>
      <c r="F22" s="37"/>
      <c r="G22" s="37"/>
      <c r="H22" s="37"/>
      <c r="I22" s="37"/>
      <c r="J22" s="34"/>
      <c r="K22" s="34"/>
      <c r="L22" s="137" t="str">
        <f>IF(Lang="Français","Partie masquée",IF(Lang="English","Interation zone",""))</f>
        <v>Partie masquée</v>
      </c>
      <c r="M22" s="675">
        <f>IF(LEFT(Type_masquage,1)="B", X_int-m_int+p_int*(m_int+2*n_int)/(3*(m_int+n_int))+(m_int+n_int-m_int*n_int/(m_int+n_int))/6, 0 )</f>
        <v>0</v>
      </c>
      <c r="N22" s="675"/>
      <c r="O22" s="694">
        <f>IF(LEFT(Type_masquage,1)="B", 4*Q_int*POWER((E_int/D_ref),2)*(1+D_int/(2*E_int+D_int))/(1+SQRT(1+POWER(2*f_int/(m_int+n_int),2))), 0 )</f>
        <v>0</v>
      </c>
      <c r="P22" s="695"/>
      <c r="Q22" s="40"/>
      <c r="R22" s="34"/>
    </row>
    <row r="23" spans="1:20" ht="12.75" customHeight="1" x14ac:dyDescent="0.25">
      <c r="A23" s="36"/>
      <c r="B23" s="172" t="str">
        <f>IF(Lang="Français","Diamètre",IF(Lang="English","Diameter",""))</f>
        <v>Diamètre</v>
      </c>
      <c r="C23" s="669">
        <v>100</v>
      </c>
      <c r="D23" s="670"/>
      <c r="E23" s="114"/>
      <c r="F23" s="37"/>
      <c r="G23" s="37"/>
      <c r="H23" s="37"/>
      <c r="I23" s="37"/>
      <c r="J23" s="34"/>
      <c r="K23" s="34"/>
      <c r="L23" s="137" t="s">
        <v>157</v>
      </c>
      <c r="M23" s="658">
        <f>IF(OR(RIGHT(Nb_diam,1)=",",D2j=0),0, X_j+l_j/3*(1+1/(1+D1j/D2j)) )</f>
        <v>0</v>
      </c>
      <c r="N23" s="659"/>
      <c r="O23" s="665">
        <f>IF(OR(RIGHT(Nb_diam,1)=",",D2j=0),0,2*(POWER(D2j/D_ref,2)-POWER(D1j/D_ref,2)))</f>
        <v>0</v>
      </c>
      <c r="P23" s="665"/>
      <c r="Q23" s="40"/>
      <c r="R23" s="34"/>
    </row>
    <row r="24" spans="1:20" ht="12.75" customHeight="1" thickBot="1" x14ac:dyDescent="0.3">
      <c r="A24" s="36"/>
      <c r="E24" s="114"/>
      <c r="F24" s="37"/>
      <c r="G24" s="37"/>
      <c r="H24" s="37"/>
      <c r="I24" s="37"/>
      <c r="J24" s="34"/>
      <c r="K24" s="34"/>
      <c r="L24" s="137" t="s">
        <v>158</v>
      </c>
      <c r="M24" s="658">
        <f>IF( OR(RIGHT(Nb_diam,1)=",",D2r=0), 0, X_r+l_r/3*(1+1/(1+D1r/D2r)) )</f>
        <v>0</v>
      </c>
      <c r="N24" s="659"/>
      <c r="O24" s="665">
        <f>IF( OR(RIGHT(Nb_diam,1)=",",D2r=0), 0, 2*(POWER(D2r/D_ref,2)-POWER(D1r/D_ref,2)) )</f>
        <v>0</v>
      </c>
      <c r="P24" s="665"/>
      <c r="Q24" s="40"/>
      <c r="R24" s="34"/>
    </row>
    <row r="25" spans="1:20" ht="12.75" customHeight="1" thickTop="1" thickBot="1" x14ac:dyDescent="0.3">
      <c r="A25" s="36"/>
      <c r="B25" s="41"/>
      <c r="C25" s="211" t="str">
        <f>IF(LEFT(Type_masquage,1)="M",IF(Lang="Français","Ailerons","Fins"),IF(Lang="Français","Ailerons bas","Lower Fins"))</f>
        <v>Ailerons</v>
      </c>
      <c r="D25" s="212" t="str">
        <f>IF(Lang="Français","Ailerons haut",IF(Lang="English","Upper Fins",""))</f>
        <v>Ailerons haut</v>
      </c>
      <c r="E25" s="213" t="s">
        <v>152</v>
      </c>
      <c r="F25" s="37"/>
      <c r="G25" s="37"/>
      <c r="H25" s="37"/>
      <c r="I25" s="37"/>
      <c r="J25" s="34"/>
      <c r="K25" s="53"/>
      <c r="L25" s="54"/>
      <c r="M25" s="54"/>
      <c r="N25" s="54"/>
      <c r="O25" s="34"/>
      <c r="P25" s="34"/>
      <c r="Q25" s="40"/>
      <c r="R25" s="54"/>
      <c r="S25" s="449" t="str">
        <f ca="1">IF(AND(Portee_balistique&gt;200,LEFT(Type_propu,3)="Min"),IF(Lang="Français","Fusée trop lègère !","Rocket too light"),"")</f>
        <v/>
      </c>
    </row>
    <row r="26" spans="1:20" ht="12.75" customHeight="1" thickTop="1" x14ac:dyDescent="0.25">
      <c r="A26" s="36"/>
      <c r="B26" s="41"/>
      <c r="C26" s="666" t="s">
        <v>426</v>
      </c>
      <c r="D26" s="667"/>
      <c r="E26" s="117"/>
      <c r="F26" s="55">
        <f ca="1">TODAY()</f>
        <v>44881</v>
      </c>
      <c r="G26" s="170" t="s">
        <v>63</v>
      </c>
      <c r="H26" s="689" t="str">
        <f>IF(Lang="Français","Résultats",IF(Lang="English","Results",""))</f>
        <v>Résultats</v>
      </c>
      <c r="I26" s="689"/>
      <c r="J26" s="170" t="s">
        <v>64</v>
      </c>
      <c r="K26" s="43"/>
      <c r="L26" s="54"/>
      <c r="M26" s="54"/>
      <c r="N26" s="54"/>
      <c r="O26" s="34"/>
      <c r="P26" s="34"/>
      <c r="Q26" s="40"/>
      <c r="R26" s="54"/>
      <c r="S26" s="449" t="str">
        <f ca="1">IF(AND(Vsortie_de_rampe&lt;18, OR(LEFT(Type_fusee,1)=",",LEFT(Type_fusee,4)="Mini",LEFT(Type_fusee,1)="R")),IF(Lang="Français","Fusée trop lourde ou rampe trop courte !","Rocket too heavy or launch pad too small!"),"")</f>
        <v/>
      </c>
    </row>
    <row r="27" spans="1:20" ht="12.75" customHeight="1" x14ac:dyDescent="0.25">
      <c r="A27" s="36"/>
      <c r="B27" s="628" t="str">
        <f>IF(Lang="Français"," Emplanture  'm'",IF(Lang="English"," Root edge  'm'",""))</f>
        <v xml:space="preserve"> Emplanture  'm'</v>
      </c>
      <c r="C27" s="210">
        <v>220</v>
      </c>
      <c r="D27" s="210">
        <v>70</v>
      </c>
      <c r="E27" s="179">
        <f>m_ail</f>
        <v>220</v>
      </c>
      <c r="F27" s="134" t="s">
        <v>65</v>
      </c>
      <c r="G27" s="133">
        <f>IF(RIGHT(Type_fusee,1)=".",10, IF(OR(LEFT(Type_fusee,1)="R",LEFT(Type_fusee,1)=",",LEFT(Type_fusee,4)="Mini"),10, IF(LEFT(Type_fusee,5)="Micro",10, IF(RIGHT(Type_fusee,1)=" ",1))))</f>
        <v>10</v>
      </c>
      <c r="H27" s="656">
        <f>Long_tot/D_ref</f>
        <v>18</v>
      </c>
      <c r="I27" s="657"/>
      <c r="J27" s="133">
        <f>IF(RIGHT(Type_fusee,1)=".",35, IF(OR(LEFT(Type_fusee,1)="R",LEFT(Type_fusee,1)=",",LEFT(Type_fusee,4)="Mini"),20, IF(LEFT(Type_fusee,5)="Micro",30, IF(RIGHT(Type_fusee,1)=" ",100))))</f>
        <v>35</v>
      </c>
      <c r="K27" s="43"/>
      <c r="L27" s="54"/>
      <c r="M27" s="54"/>
      <c r="N27" s="54"/>
      <c r="O27" s="34"/>
      <c r="P27" s="34"/>
      <c r="Q27" s="40"/>
      <c r="R27" s="54"/>
      <c r="S27" s="449" t="str">
        <f>IF(Finesse&lt;CritFinessemin, IF(Lang="Français","Fusée trop courte !","Rocket too short!"), "" ) &amp; IF(Finesse&gt;CritFinessemax, IF(Lang="Français","Fusée trop longue !","Rocket too long!"), "" )</f>
        <v/>
      </c>
    </row>
    <row r="28" spans="1:20" ht="12.75" customHeight="1" x14ac:dyDescent="0.25">
      <c r="A28" s="36"/>
      <c r="B28" s="628" t="str">
        <f>IF(Lang="Français"," Saumon       'n'",IF(Lang="English"," Tip edge    'n'",""))</f>
        <v xml:space="preserve"> Saumon       'n'</v>
      </c>
      <c r="C28" s="48">
        <v>100</v>
      </c>
      <c r="D28" s="48">
        <v>10</v>
      </c>
      <c r="E28" s="179">
        <f>n_ail+(m_ail-n_ail)*(1-E_int/E_ail)</f>
        <v>180</v>
      </c>
      <c r="F28" s="134" t="str">
        <f>IF(Lang="Français","Portance","Lift")</f>
        <v>Portance</v>
      </c>
      <c r="G28" s="133">
        <f>IF(RIGHT(Type_fusee,1)=".",15,IF(OR(LEFT(Type_fusee,1)="R",LEFT(Type_fusee,1)=",",LEFT(Type_fusee,4)="Mini"),15, IF(LEFT(Type_fusee,5)="Micro",15, IF(RIGHT(Type_fusee,1)=" ",15))))</f>
        <v>15</v>
      </c>
      <c r="H28" s="597">
        <f>Cnai+Cnc+Cno+Cnj+Cnr</f>
        <v>19.135014339693754</v>
      </c>
      <c r="I28" s="597">
        <f>Cnail+Cnc+Cno+Cnj+Cnr</f>
        <v>19.135014339693754</v>
      </c>
      <c r="J28" s="133">
        <f>IF(RIGHT(Type_fusee,1)=".",40, IF(OR(LEFT(Type_fusee,1)="R",LEFT(Type_fusee,1)=",",LEFT(Type_fusee,4)="Mini"),30, IF(LEFT(Type_fusee,5)="Micro",30, IF(RIGHT(Type_fusee,1)=" ",30))))</f>
        <v>40</v>
      </c>
      <c r="K28" s="43"/>
      <c r="L28" s="54"/>
      <c r="M28" s="54"/>
      <c r="N28" s="54"/>
      <c r="O28" s="34"/>
      <c r="P28" s="34"/>
      <c r="Q28" s="40"/>
      <c r="R28" s="54"/>
      <c r="S28" s="449" t="str">
        <f>IF(Cn&lt;CritCnmin, IF(Lang="Français","Ailerons trop petits !","Fins too small!"), "" ) &amp; IF(Cn&gt;CritCnmax, IF(Lang="Français","Ailerons trop grands !","Fins too big!"), "" )</f>
        <v/>
      </c>
    </row>
    <row r="29" spans="1:20" ht="12.75" customHeight="1" x14ac:dyDescent="0.25">
      <c r="A29" s="36"/>
      <c r="B29" s="628" t="str">
        <f>IF(Lang="Français"," Flèche          'p'"," Offset         'p'")</f>
        <v xml:space="preserve"> Flèche          'p'</v>
      </c>
      <c r="C29" s="48">
        <v>200</v>
      </c>
      <c r="D29" s="48">
        <v>40</v>
      </c>
      <c r="E29" s="179">
        <f>p_ail*E_int/E_ail</f>
        <v>66.666666666666671</v>
      </c>
      <c r="F29" s="605" t="str">
        <f>IF(Lang="Français","MargeStat.","StatMargin")</f>
        <v>MargeStat.</v>
      </c>
      <c r="G29" s="599">
        <f>IF(RIGHT(Type_fusee,1)=".",2, IF(OR(LEFT(Type_fusee,1)="R",LEFT(Type_fusee,1)=",",LEFT(Type_fusee,4)="Mini"),1.5, IF(LEFT(Type_fusee,5)="Micro",1, IF(RIGHT(Type_fusee,1)=" ",1))))</f>
        <v>2</v>
      </c>
      <c r="H29" s="126">
        <f ca="1">(XCp-XcgPlein)/D_ref</f>
        <v>3.6252549754626102</v>
      </c>
      <c r="I29" s="127">
        <f ca="1">(XCp0-XcgVide)/D_ref</f>
        <v>4.0884248305201298</v>
      </c>
      <c r="J29" s="599">
        <f>IF(RIGHT(Type_fusee,1)=".",6, IF(OR(LEFT(Type_fusee,1)="R",LEFT(Type_fusee,1)=",",LEFT(Type_fusee,4)="Mini"),6, IF(LEFT(Type_fusee,5)="Micro",3, IF(RIGHT(Type_fusee,1)=" ",3))))</f>
        <v>6</v>
      </c>
      <c r="K29" s="43"/>
      <c r="L29" s="34"/>
      <c r="M29" s="34"/>
      <c r="N29" s="34"/>
      <c r="O29" s="34"/>
      <c r="P29" s="34"/>
      <c r="Q29" s="40"/>
      <c r="R29" s="54"/>
      <c r="S29" s="449"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5">
      <c r="A30" s="36"/>
      <c r="B30" s="628" t="str">
        <f>IF(Lang="Français"," Envergure     'E'",IF(Lang="English"," Span          'E'",""))</f>
        <v xml:space="preserve"> Envergure     'E'</v>
      </c>
      <c r="C30" s="48">
        <v>150</v>
      </c>
      <c r="D30" s="48">
        <v>50</v>
      </c>
      <c r="E30" s="179">
        <f>IF(D_can/2+E_can&lt;=D_ail/2,0, IF(D_can/2+E_can&gt;=D_ail/2+E_ail,E_ail,  D_can/2+E_can - D_ail/2  ) )</f>
        <v>50</v>
      </c>
      <c r="F30" s="606" t="str">
        <f>IF(Lang="Français","Couple","Torque")</f>
        <v>Couple</v>
      </c>
      <c r="G30" s="600">
        <f>IF(RIGHT(Type_fusee,1)=".",40, IF(OR(LEFT(Type_fusee,1)="R",LEFT(Type_fusee,1)=",",LEFT(Type_fusee,4)="Mini"),30, IF(LEFT(Type_fusee,5)="Micro",15, IF(RIGHT(Type_fusee,1)=" ",15))))</f>
        <v>40</v>
      </c>
      <c r="H30" s="128">
        <f ca="1">MS_min*Cn</f>
        <v>69.369305940523176</v>
      </c>
      <c r="I30" s="125">
        <f ca="1">MS_max*Cn0</f>
        <v>78.232067758762696</v>
      </c>
      <c r="J30" s="600">
        <f>IF(RIGHT(Type_fusee,1)=".",100, IF(OR(LEFT(Type_fusee,1)="R",LEFT(Type_fusee,1)=",",LEFT(Type_fusee,4)="Mini"),100, IF(LEFT(Type_fusee,5)="Micro",100, IF(RIGHT(Type_fusee,1)=" ",90))))</f>
        <v>100</v>
      </c>
      <c r="K30" s="43"/>
      <c r="L30" s="34"/>
      <c r="M30" s="34"/>
      <c r="N30" s="34"/>
      <c r="O30" s="34"/>
      <c r="P30" s="34"/>
      <c r="Q30" s="40"/>
      <c r="R30" s="54"/>
      <c r="S30" s="449"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5">
      <c r="A31" s="36"/>
      <c r="B31" s="629" t="str">
        <f>IF(Lang="Français"," Epaisseur     'ep'",IF(Lang="English"," Thickness  'ep'",""))</f>
        <v xml:space="preserve"> Epaisseur     'ep'</v>
      </c>
      <c r="C31" s="48">
        <v>2</v>
      </c>
      <c r="D31" s="48">
        <v>2</v>
      </c>
      <c r="E31" s="179">
        <f>ep_ail</f>
        <v>2</v>
      </c>
      <c r="F31" s="135" t="s">
        <v>56</v>
      </c>
      <c r="G31" s="132"/>
      <c r="H31" s="598">
        <f>(Cnai*XCpai+Cnc*XCpc+Cnj*XCpj+Cnr*XCpr+Cno*XCpo)/(Cnai+Cnc+Cnr+Cnj+Cno)</f>
        <v>1542.904434046003</v>
      </c>
      <c r="I31" s="598">
        <f>(Cnail*XCpa+Cnc*XCpc+Cnj*XCpj+Cnr*XCpr+Cno*XCpo)/(Cnail+Cnc+Cnr+Cnj+Cno)</f>
        <v>1542.904434046003</v>
      </c>
      <c r="J31" s="131"/>
      <c r="K31" s="43"/>
      <c r="L31" s="34"/>
      <c r="M31" s="34"/>
      <c r="N31" s="34"/>
      <c r="O31" s="34"/>
      <c r="P31" s="34"/>
      <c r="Q31" s="40"/>
      <c r="R31" s="54"/>
      <c r="S31" s="449"/>
    </row>
    <row r="32" spans="1:20" ht="12.75" customHeight="1" x14ac:dyDescent="0.25">
      <c r="A32" s="36"/>
      <c r="B32" s="628" t="str">
        <f>IF(Lang="Français"," Nombre            ",IF(Lang="English"," Number of fins",""))</f>
        <v xml:space="preserve"> Nombre            </v>
      </c>
      <c r="C32" s="49">
        <v>4</v>
      </c>
      <c r="D32" s="49">
        <v>4</v>
      </c>
      <c r="E32" s="179">
        <f>IF(Q_ail=Q_can,Q_ail,FALSE)</f>
        <v>4</v>
      </c>
      <c r="F32" s="135" t="s">
        <v>67</v>
      </c>
      <c r="G32" s="132"/>
      <c r="H32" s="129">
        <f ca="1">(XCp-XcgPlein)/Long_tot*100</f>
        <v>20.140305419236721</v>
      </c>
      <c r="I32" s="130">
        <f ca="1">(XCp-XcgVide)/Long_tot*100</f>
        <v>22.713471280667388</v>
      </c>
      <c r="J32" s="131"/>
      <c r="K32" s="43"/>
      <c r="L32" s="34"/>
      <c r="M32" s="34"/>
      <c r="N32" s="34"/>
      <c r="O32" s="34"/>
      <c r="P32" s="34"/>
      <c r="Q32" s="40"/>
      <c r="R32" s="54"/>
    </row>
    <row r="33" spans="1:23" ht="12.75" customHeight="1" x14ac:dyDescent="0.25">
      <c r="A33" s="36"/>
      <c r="B33" s="628" t="str">
        <f>IF(Lang="Français"," Position du bas",IF(Lang="English"," Basement",""))</f>
        <v xml:space="preserve"> Position du bas</v>
      </c>
      <c r="C33" s="48">
        <f>Long_tot</f>
        <v>1800</v>
      </c>
      <c r="D33" s="48">
        <v>700</v>
      </c>
      <c r="E33" s="179">
        <f>X_ail</f>
        <v>1800</v>
      </c>
      <c r="F33" s="37"/>
      <c r="G33" s="34"/>
      <c r="H33" s="645" t="str">
        <f ca="1">IF(AND(CritCnmin&lt;Cn,Cn0&lt;CritCnmax,CritMsmin&lt;MS_min,MS_max&lt;CritMsmax,CritMsCnmin&lt;MS_Cn_min,MS_Cn_max&lt;CritMsCnmax),"STABLE",IF(OR(Cn&lt;CritCnmin,MS_min&lt;CritMsmin,MS_Cn_min&lt;CritMsCnmin),"INSTABLE",IF(Lang="Français","SURSTABLE","OVERSTABLE")))</f>
        <v>STABLE</v>
      </c>
      <c r="I33" s="646"/>
      <c r="J33" s="46"/>
      <c r="K33" s="43"/>
      <c r="L33" s="34"/>
      <c r="M33" s="34"/>
      <c r="N33" s="34"/>
      <c r="O33" s="34"/>
      <c r="P33" s="34"/>
      <c r="Q33" s="40"/>
      <c r="R33" s="54"/>
    </row>
    <row r="34" spans="1:23" ht="12.75" customHeight="1" x14ac:dyDescent="0.25">
      <c r="A34" s="36"/>
      <c r="B34" s="628" t="str">
        <f>IF(Lang="Français"," Diamètre         ",IF(Lang="English"," Diameter at Fins",""))</f>
        <v xml:space="preserve"> Diamètre         </v>
      </c>
      <c r="C34" s="48">
        <f>D_ref</f>
        <v>100</v>
      </c>
      <c r="D34" s="48">
        <f>D_ref</f>
        <v>100</v>
      </c>
      <c r="E34" s="179">
        <f>D_ail</f>
        <v>100</v>
      </c>
      <c r="F34" s="37"/>
      <c r="G34" s="34"/>
      <c r="H34" s="647"/>
      <c r="I34" s="648"/>
      <c r="J34" s="34"/>
      <c r="K34" s="43"/>
      <c r="L34" s="34"/>
      <c r="M34" s="34"/>
      <c r="N34" s="34"/>
      <c r="O34" s="34"/>
      <c r="P34" s="34"/>
      <c r="Q34" s="40"/>
      <c r="R34" s="54"/>
    </row>
    <row r="35" spans="1:23" ht="12.75" customHeight="1" x14ac:dyDescent="0.25">
      <c r="A35" s="36"/>
      <c r="B35" s="628" t="str">
        <f>IF(Lang="Français"," Ligne mi-corde f",IF(Lang="English"," Mid-chord line f",""))</f>
        <v xml:space="preserve"> Ligne mi-corde f</v>
      </c>
      <c r="C35" s="178">
        <f>SQRT(POWER(p_ail+n_ail/2-m_ail/2,2)+POWER(E_ail,2))</f>
        <v>205.18284528683191</v>
      </c>
      <c r="D35" s="178">
        <f>SQRT(POWER(p_can+n_can/2-m_can/2,2)+POWER(E_can,2))</f>
        <v>50.990195135927848</v>
      </c>
      <c r="E35" s="179">
        <f>SQRT(POWER(p_int+n_int/2-m_int/2,2)+POWER(E_int,2))</f>
        <v>68.394281762277316</v>
      </c>
      <c r="F35" s="37"/>
      <c r="G35" s="37"/>
      <c r="H35" s="37"/>
      <c r="I35" s="37"/>
      <c r="J35" s="34"/>
      <c r="K35" s="43"/>
      <c r="L35" s="34"/>
      <c r="M35" s="34"/>
      <c r="N35" s="34"/>
      <c r="O35" s="34"/>
      <c r="P35" s="34"/>
      <c r="Q35" s="40"/>
      <c r="R35" s="54"/>
      <c r="W35" s="35" t="str">
        <f>RIGHT(Type_fusee,1="R")</f>
        <v/>
      </c>
    </row>
    <row r="36" spans="1:23" ht="12.75" customHeight="1" thickBot="1" x14ac:dyDescent="0.3">
      <c r="A36" s="57"/>
      <c r="B36" s="216" t="str">
        <f>IF(Lang="Français","Commentaire libre :",IF(Lang="English","Free comment:",""))</f>
        <v>Commentaire libre :</v>
      </c>
      <c r="C36" s="58"/>
      <c r="D36" s="59"/>
      <c r="E36" s="118"/>
      <c r="F36" s="89"/>
      <c r="G36" s="89"/>
      <c r="H36" s="89"/>
      <c r="I36" s="89"/>
      <c r="J36" s="60"/>
      <c r="K36" s="59"/>
      <c r="L36" s="450" t="s">
        <v>271</v>
      </c>
      <c r="M36" s="453" t="str">
        <f>IF(ROUND(SUM(Propu!5:1228),0)=395253,"propu OK","propu NOK")</f>
        <v>propu OK</v>
      </c>
      <c r="N36" s="452" t="str">
        <f>IF(Lang="Français","fichier initial","Initial file")</f>
        <v>fichier initial</v>
      </c>
      <c r="O36" s="453"/>
      <c r="P36" s="451"/>
      <c r="Q36" s="341" t="s">
        <v>546</v>
      </c>
      <c r="R36" s="54"/>
    </row>
    <row r="37" spans="1:23" ht="12.75" customHeight="1" x14ac:dyDescent="0.25">
      <c r="R37" s="61"/>
    </row>
    <row r="38" spans="1:23" x14ac:dyDescent="0.25">
      <c r="L38" s="265" t="str">
        <f>IF(Lang="Français","Maintenant que votre fusée est stable, vérifiez sa trajectoire via la feuille","Now your rocket is stable, check its trajectory on sheet")</f>
        <v>Maintenant que votre fusée est stable, vérifiez sa trajectoire via la feuille</v>
      </c>
      <c r="M38" s="569" t="s">
        <v>181</v>
      </c>
    </row>
    <row r="39" spans="1:23" x14ac:dyDescent="0.25">
      <c r="H39" s="264"/>
      <c r="O39" s="56"/>
      <c r="P39" s="56"/>
    </row>
    <row r="40" spans="1:23" x14ac:dyDescent="0.25">
      <c r="F40" s="35"/>
      <c r="H40" s="61"/>
      <c r="I40" s="62"/>
      <c r="J40" s="61"/>
      <c r="N40" s="61"/>
      <c r="Q40" s="61"/>
      <c r="S40" s="595"/>
    </row>
    <row r="41" spans="1:23" x14ac:dyDescent="0.25">
      <c r="F41" s="35"/>
      <c r="G41" s="592"/>
      <c r="H41" s="593"/>
      <c r="I41" s="62"/>
      <c r="J41" s="61"/>
      <c r="N41" s="61"/>
      <c r="Q41" s="61"/>
      <c r="R41" s="61"/>
    </row>
    <row r="42" spans="1:23" x14ac:dyDescent="0.25">
      <c r="F42" s="35"/>
      <c r="H42" s="61"/>
      <c r="I42" s="62"/>
      <c r="J42" s="61"/>
      <c r="N42" s="61"/>
      <c r="Q42" s="61"/>
      <c r="R42" s="61"/>
    </row>
    <row r="43" spans="1:23" x14ac:dyDescent="0.25">
      <c r="F43" s="35"/>
      <c r="H43" s="61"/>
      <c r="I43" s="62"/>
      <c r="J43" s="61"/>
      <c r="N43" s="61"/>
      <c r="Q43" s="61"/>
      <c r="R43" s="61"/>
    </row>
    <row r="44" spans="1:23" x14ac:dyDescent="0.25">
      <c r="F44" s="35"/>
      <c r="H44" s="61"/>
      <c r="I44" s="62"/>
      <c r="J44" s="61"/>
      <c r="N44" s="61"/>
      <c r="O44" s="34"/>
      <c r="P44" s="34"/>
      <c r="Q44" s="61"/>
      <c r="R44" s="61"/>
    </row>
    <row r="45" spans="1:23" x14ac:dyDescent="0.25">
      <c r="F45" s="35"/>
      <c r="H45" s="61"/>
      <c r="I45" s="62"/>
      <c r="J45" s="61"/>
      <c r="N45" s="61"/>
      <c r="O45" s="34"/>
      <c r="P45" s="34"/>
      <c r="Q45" s="61"/>
      <c r="R45" s="61"/>
    </row>
    <row r="46" spans="1:23" x14ac:dyDescent="0.25">
      <c r="F46" s="35"/>
      <c r="H46" s="61"/>
      <c r="I46" s="62"/>
      <c r="J46" s="61"/>
      <c r="L46" s="61"/>
      <c r="M46" s="61"/>
      <c r="N46" s="61"/>
      <c r="O46" s="34"/>
      <c r="P46" s="34"/>
      <c r="Q46" s="61"/>
      <c r="R46" s="61"/>
    </row>
    <row r="47" spans="1:23" x14ac:dyDescent="0.25">
      <c r="F47" s="35"/>
      <c r="H47" s="61"/>
      <c r="I47" s="62"/>
      <c r="J47" s="61"/>
      <c r="L47" s="61"/>
      <c r="M47" s="61"/>
      <c r="N47" s="61"/>
      <c r="O47" s="34"/>
      <c r="P47" s="34"/>
      <c r="Q47" s="61"/>
      <c r="R47" s="61"/>
    </row>
    <row r="48" spans="1:23" x14ac:dyDescent="0.25">
      <c r="F48" s="35"/>
      <c r="H48" s="61"/>
      <c r="I48" s="62"/>
      <c r="J48" s="61"/>
      <c r="L48" s="61"/>
      <c r="M48" s="61"/>
      <c r="N48" s="61"/>
      <c r="O48" s="34"/>
      <c r="P48" s="34"/>
      <c r="Q48" s="61"/>
      <c r="R48" s="61"/>
    </row>
    <row r="49" spans="2:18" x14ac:dyDescent="0.25">
      <c r="F49" s="35"/>
      <c r="H49" s="61"/>
      <c r="I49" s="62"/>
      <c r="J49" s="61"/>
      <c r="L49" s="61"/>
      <c r="M49" s="61"/>
      <c r="N49" s="61"/>
      <c r="O49" s="34"/>
      <c r="P49" s="34"/>
      <c r="Q49" s="61"/>
      <c r="R49" s="61"/>
    </row>
    <row r="50" spans="2:18" x14ac:dyDescent="0.25">
      <c r="F50" s="35"/>
      <c r="H50" s="61"/>
      <c r="I50" s="62"/>
      <c r="J50" s="61"/>
      <c r="L50" s="61"/>
      <c r="M50" s="61"/>
      <c r="N50" s="61"/>
      <c r="O50" s="34"/>
      <c r="P50" s="34"/>
      <c r="Q50" s="61"/>
      <c r="R50" s="61"/>
    </row>
    <row r="51" spans="2:18" x14ac:dyDescent="0.25">
      <c r="F51" s="35"/>
      <c r="H51" s="61"/>
      <c r="I51" s="62"/>
      <c r="J51" s="61"/>
      <c r="L51" s="61"/>
      <c r="M51" s="61"/>
      <c r="N51" s="61"/>
      <c r="O51" s="34"/>
      <c r="P51" s="34"/>
      <c r="Q51" s="61"/>
      <c r="R51" s="61"/>
    </row>
    <row r="52" spans="2:18" x14ac:dyDescent="0.25">
      <c r="H52" s="61"/>
      <c r="I52" s="62"/>
      <c r="J52" s="61"/>
      <c r="L52" s="61"/>
      <c r="M52" s="61"/>
      <c r="N52" s="61"/>
      <c r="O52" s="34"/>
      <c r="P52" s="34"/>
      <c r="Q52" s="61"/>
      <c r="R52" s="61"/>
    </row>
    <row r="53" spans="2:18" x14ac:dyDescent="0.25">
      <c r="H53" s="61"/>
      <c r="I53" s="62"/>
      <c r="J53" s="61"/>
      <c r="L53" s="61"/>
      <c r="M53" s="61"/>
      <c r="N53" s="61"/>
      <c r="Q53" s="61"/>
      <c r="R53" s="61"/>
    </row>
    <row r="54" spans="2:18" x14ac:dyDescent="0.25">
      <c r="H54" s="61"/>
      <c r="I54" s="62"/>
      <c r="J54" s="61"/>
      <c r="L54" s="61"/>
      <c r="M54" s="61"/>
      <c r="N54" s="61"/>
      <c r="Q54" s="61"/>
      <c r="R54" s="61"/>
    </row>
    <row r="55" spans="2:18" x14ac:dyDescent="0.25">
      <c r="H55" s="61"/>
      <c r="I55" s="62"/>
      <c r="J55" s="61"/>
      <c r="L55" s="61"/>
      <c r="M55" s="61"/>
      <c r="N55" s="61"/>
      <c r="Q55" s="61"/>
      <c r="R55" s="61"/>
    </row>
    <row r="56" spans="2:18" x14ac:dyDescent="0.25">
      <c r="C56" s="35"/>
      <c r="H56" s="61"/>
      <c r="I56" s="62"/>
      <c r="J56" s="61"/>
      <c r="L56" s="61"/>
      <c r="M56" s="61"/>
      <c r="N56" s="61"/>
      <c r="Q56" s="61"/>
      <c r="R56" s="61"/>
    </row>
    <row r="57" spans="2:18" x14ac:dyDescent="0.25">
      <c r="H57" s="61"/>
      <c r="I57" s="62"/>
      <c r="J57" s="61"/>
      <c r="L57" s="61"/>
      <c r="M57" s="61"/>
      <c r="N57" s="61"/>
      <c r="Q57" s="61"/>
      <c r="R57" s="61"/>
    </row>
    <row r="58" spans="2:18" x14ac:dyDescent="0.25">
      <c r="B58" s="52"/>
      <c r="H58" s="61"/>
      <c r="I58" s="62"/>
      <c r="J58" s="61"/>
      <c r="L58" s="61"/>
      <c r="M58" s="61"/>
      <c r="N58" s="61"/>
      <c r="Q58" s="61"/>
      <c r="R58" s="61"/>
    </row>
    <row r="59" spans="2:18" x14ac:dyDescent="0.25">
      <c r="B59" s="52"/>
      <c r="H59" s="61"/>
      <c r="I59" s="62"/>
      <c r="J59" s="61"/>
      <c r="L59" s="61"/>
      <c r="M59" s="61"/>
      <c r="N59" s="61"/>
      <c r="Q59" s="61"/>
      <c r="R59" s="61"/>
    </row>
    <row r="60" spans="2:18" x14ac:dyDescent="0.25">
      <c r="B60" s="52"/>
      <c r="H60" s="61"/>
      <c r="I60" s="62"/>
      <c r="J60" s="61"/>
      <c r="L60" s="61"/>
      <c r="M60" s="61"/>
      <c r="N60" s="61"/>
      <c r="Q60" s="61"/>
      <c r="R60" s="61"/>
    </row>
    <row r="61" spans="2:18" x14ac:dyDescent="0.25">
      <c r="B61" s="52"/>
      <c r="H61" s="61"/>
      <c r="I61" s="62"/>
      <c r="J61" s="61"/>
      <c r="L61" s="61"/>
      <c r="M61" s="61"/>
      <c r="N61" s="61"/>
      <c r="Q61" s="61"/>
      <c r="R61" s="61"/>
    </row>
    <row r="62" spans="2:18" x14ac:dyDescent="0.25">
      <c r="B62" s="52"/>
      <c r="H62" s="61"/>
      <c r="I62" s="62"/>
      <c r="J62" s="61"/>
      <c r="L62" s="61"/>
      <c r="M62" s="61"/>
      <c r="N62" s="61"/>
      <c r="Q62" s="61"/>
      <c r="R62" s="61"/>
    </row>
    <row r="63" spans="2:18" x14ac:dyDescent="0.25">
      <c r="B63" s="52"/>
      <c r="H63" s="61"/>
      <c r="I63" s="62"/>
      <c r="J63" s="61"/>
      <c r="L63" s="61"/>
      <c r="M63" s="61"/>
      <c r="N63" s="61"/>
      <c r="Q63" s="61"/>
      <c r="R63" s="61"/>
    </row>
    <row r="64" spans="2:18" x14ac:dyDescent="0.25">
      <c r="B64" s="52"/>
      <c r="H64" s="61"/>
      <c r="I64" s="62"/>
      <c r="J64" s="61"/>
      <c r="L64" s="61"/>
      <c r="M64" s="61"/>
      <c r="N64" s="61"/>
      <c r="Q64" s="61"/>
      <c r="R64" s="61"/>
    </row>
    <row r="65" spans="2:18" x14ac:dyDescent="0.25">
      <c r="B65" s="52"/>
      <c r="H65" s="61"/>
      <c r="I65" s="62"/>
      <c r="J65" s="61"/>
      <c r="L65" s="61"/>
      <c r="M65" s="61"/>
      <c r="N65" s="61"/>
      <c r="Q65" s="61"/>
      <c r="R65" s="61"/>
    </row>
    <row r="66" spans="2:18" x14ac:dyDescent="0.25">
      <c r="B66" s="52"/>
      <c r="H66" s="61"/>
      <c r="I66" s="62"/>
      <c r="J66" s="61"/>
      <c r="L66" s="61"/>
      <c r="M66" s="61"/>
      <c r="N66" s="61"/>
      <c r="Q66" s="61"/>
      <c r="R66" s="61"/>
    </row>
    <row r="67" spans="2:18" x14ac:dyDescent="0.25">
      <c r="C67" s="35"/>
      <c r="H67" s="61"/>
      <c r="I67" s="62"/>
      <c r="J67" s="61"/>
      <c r="L67" s="61"/>
      <c r="M67" s="61"/>
      <c r="N67" s="61"/>
      <c r="Q67" s="61"/>
      <c r="R67" s="61"/>
    </row>
    <row r="68" spans="2:18" x14ac:dyDescent="0.25">
      <c r="C68" s="35"/>
      <c r="H68" s="61"/>
      <c r="I68" s="62"/>
      <c r="J68" s="61"/>
      <c r="L68" s="61"/>
      <c r="M68" s="61"/>
      <c r="N68" s="61"/>
      <c r="Q68" s="61"/>
      <c r="R68" s="61"/>
    </row>
    <row r="69" spans="2:18" x14ac:dyDescent="0.25">
      <c r="C69" s="35"/>
      <c r="H69" s="61"/>
      <c r="I69" s="62"/>
      <c r="J69" s="61"/>
      <c r="L69" s="61"/>
      <c r="M69" s="61"/>
      <c r="N69" s="61"/>
      <c r="Q69" s="61"/>
      <c r="R69" s="61"/>
    </row>
    <row r="70" spans="2:18" x14ac:dyDescent="0.25">
      <c r="C70" s="35"/>
      <c r="H70" s="61"/>
      <c r="I70" s="62"/>
      <c r="J70" s="61"/>
      <c r="L70" s="61"/>
      <c r="M70" s="61"/>
      <c r="N70" s="61"/>
      <c r="Q70" s="61"/>
      <c r="R70" s="61"/>
    </row>
    <row r="71" spans="2:18" x14ac:dyDescent="0.25">
      <c r="C71" s="35"/>
      <c r="H71" s="61"/>
      <c r="I71" s="62"/>
      <c r="J71" s="61"/>
      <c r="L71" s="61"/>
      <c r="M71" s="61"/>
      <c r="N71" s="61"/>
      <c r="Q71" s="61"/>
      <c r="R71" s="61"/>
    </row>
    <row r="72" spans="2:18" x14ac:dyDescent="0.25">
      <c r="C72" s="35"/>
      <c r="H72" s="61"/>
      <c r="I72" s="62"/>
      <c r="J72" s="61"/>
      <c r="L72" s="61"/>
      <c r="M72" s="61"/>
      <c r="N72" s="61"/>
      <c r="Q72" s="61"/>
      <c r="R72" s="61"/>
    </row>
    <row r="73" spans="2:18" x14ac:dyDescent="0.25">
      <c r="C73" s="35"/>
      <c r="H73" s="61"/>
      <c r="I73" s="62"/>
      <c r="J73" s="61"/>
      <c r="L73" s="61"/>
      <c r="M73" s="61"/>
      <c r="N73" s="61"/>
      <c r="Q73" s="61"/>
      <c r="R73" s="61"/>
    </row>
    <row r="74" spans="2:18" x14ac:dyDescent="0.25">
      <c r="C74" s="35"/>
      <c r="H74" s="61"/>
      <c r="I74" s="62"/>
      <c r="J74" s="61"/>
      <c r="L74" s="61"/>
      <c r="M74" s="61"/>
      <c r="N74" s="61"/>
      <c r="Q74" s="61"/>
      <c r="R74" s="61"/>
    </row>
    <row r="75" spans="2:18" x14ac:dyDescent="0.25">
      <c r="C75" s="35"/>
      <c r="H75" s="61"/>
      <c r="I75" s="62"/>
      <c r="J75" s="61"/>
      <c r="L75" s="61"/>
      <c r="M75" s="61"/>
      <c r="N75" s="61"/>
      <c r="Q75" s="61"/>
      <c r="R75" s="61"/>
    </row>
    <row r="76" spans="2:18" x14ac:dyDescent="0.25">
      <c r="C76" s="35"/>
      <c r="H76" s="61"/>
      <c r="I76" s="62"/>
      <c r="J76" s="61"/>
      <c r="L76" s="61"/>
      <c r="M76" s="61"/>
      <c r="N76" s="61"/>
      <c r="Q76" s="61"/>
      <c r="R76" s="61"/>
    </row>
    <row r="77" spans="2:18" x14ac:dyDescent="0.25">
      <c r="C77" s="35"/>
      <c r="H77" s="61"/>
      <c r="I77" s="62"/>
      <c r="J77" s="61"/>
      <c r="L77" s="61"/>
      <c r="M77" s="61"/>
      <c r="N77" s="61"/>
      <c r="Q77" s="61"/>
      <c r="R77" s="61"/>
    </row>
    <row r="78" spans="2:18" x14ac:dyDescent="0.25">
      <c r="C78" s="35"/>
      <c r="H78" s="61"/>
      <c r="I78" s="62"/>
      <c r="J78" s="61"/>
      <c r="L78" s="61"/>
      <c r="M78" s="61"/>
      <c r="N78" s="61"/>
      <c r="Q78" s="61"/>
      <c r="R78" s="61"/>
    </row>
    <row r="79" spans="2:18" x14ac:dyDescent="0.25">
      <c r="C79" s="35"/>
      <c r="H79" s="61"/>
      <c r="I79" s="62"/>
      <c r="J79" s="61"/>
      <c r="L79" s="61"/>
      <c r="M79" s="61"/>
      <c r="N79" s="61"/>
      <c r="Q79" s="61"/>
      <c r="R79" s="61"/>
    </row>
    <row r="80" spans="2:18" x14ac:dyDescent="0.25">
      <c r="C80" s="35"/>
      <c r="H80" s="61"/>
      <c r="I80" s="62"/>
      <c r="J80" s="61"/>
      <c r="L80" s="61"/>
      <c r="M80" s="61"/>
      <c r="N80" s="61"/>
      <c r="Q80" s="61"/>
      <c r="R80" s="61"/>
    </row>
    <row r="81" spans="2:18" x14ac:dyDescent="0.25">
      <c r="C81" s="35"/>
      <c r="H81" s="61"/>
      <c r="I81" s="62"/>
      <c r="J81" s="61"/>
      <c r="L81" s="61"/>
      <c r="M81" s="61"/>
      <c r="N81" s="61"/>
      <c r="Q81" s="61"/>
      <c r="R81" s="61"/>
    </row>
    <row r="82" spans="2:18" x14ac:dyDescent="0.25">
      <c r="C82" s="35"/>
      <c r="H82" s="61"/>
      <c r="I82" s="62"/>
      <c r="J82" s="61"/>
      <c r="L82" s="61"/>
      <c r="M82" s="61"/>
      <c r="N82" s="61"/>
      <c r="Q82" s="61"/>
      <c r="R82" s="61"/>
    </row>
    <row r="83" spans="2:18" x14ac:dyDescent="0.25">
      <c r="C83" s="35"/>
      <c r="H83" s="61"/>
      <c r="I83" s="62"/>
      <c r="J83" s="61"/>
      <c r="L83" s="61"/>
      <c r="M83" s="61"/>
      <c r="N83" s="61"/>
      <c r="Q83" s="61"/>
      <c r="R83" s="61"/>
    </row>
    <row r="84" spans="2:18" x14ac:dyDescent="0.25">
      <c r="C84" s="35"/>
      <c r="H84" s="61"/>
      <c r="I84" s="62"/>
      <c r="J84" s="61"/>
      <c r="L84" s="61"/>
      <c r="M84" s="61"/>
      <c r="N84" s="61"/>
      <c r="Q84" s="61"/>
      <c r="R84" s="61"/>
    </row>
    <row r="85" spans="2:18" x14ac:dyDescent="0.25">
      <c r="C85" s="35"/>
      <c r="H85" s="61"/>
      <c r="I85" s="62"/>
      <c r="J85" s="61"/>
      <c r="L85" s="61"/>
      <c r="M85" s="61"/>
      <c r="N85" s="61"/>
      <c r="Q85" s="61"/>
      <c r="R85" s="61"/>
    </row>
    <row r="86" spans="2:18" x14ac:dyDescent="0.25">
      <c r="C86" s="35"/>
      <c r="H86" s="61"/>
      <c r="I86" s="62"/>
      <c r="J86" s="61"/>
      <c r="L86" s="61"/>
      <c r="M86" s="61"/>
      <c r="N86" s="61"/>
      <c r="Q86" s="61"/>
      <c r="R86" s="61"/>
    </row>
    <row r="87" spans="2:18" x14ac:dyDescent="0.25">
      <c r="C87" s="35"/>
      <c r="H87" s="61"/>
      <c r="I87" s="62"/>
      <c r="J87" s="61"/>
      <c r="L87" s="61"/>
      <c r="M87" s="61"/>
      <c r="N87" s="61"/>
      <c r="Q87" s="61"/>
      <c r="R87" s="61"/>
    </row>
    <row r="88" spans="2:18" x14ac:dyDescent="0.25">
      <c r="C88" s="35"/>
      <c r="H88" s="61"/>
      <c r="I88" s="62"/>
      <c r="J88" s="61"/>
      <c r="L88" s="61"/>
      <c r="M88" s="61"/>
      <c r="N88" s="61"/>
      <c r="Q88" s="61"/>
      <c r="R88" s="61"/>
    </row>
    <row r="89" spans="2:18" x14ac:dyDescent="0.25">
      <c r="C89" s="35"/>
      <c r="H89" s="61"/>
      <c r="I89" s="62"/>
      <c r="J89" s="61"/>
      <c r="L89" s="61"/>
      <c r="M89" s="61"/>
      <c r="N89" s="61"/>
      <c r="Q89" s="61"/>
      <c r="R89" s="61"/>
    </row>
    <row r="90" spans="2:18" x14ac:dyDescent="0.25">
      <c r="C90" s="35"/>
      <c r="H90" s="61"/>
      <c r="I90" s="62"/>
      <c r="J90" s="61"/>
      <c r="L90" s="61"/>
      <c r="M90" s="61"/>
      <c r="N90" s="61"/>
      <c r="Q90" s="61"/>
      <c r="R90" s="61"/>
    </row>
    <row r="91" spans="2:18" x14ac:dyDescent="0.25">
      <c r="B91" s="35" t="str">
        <f>IF(Lang="Français","Textes pour les listes déroulantes et graphiques :",IF(Lang="English","Texts for drop-down lists &amp; graphics :",""))</f>
        <v>Textes pour les listes déroulantes et graphiques :</v>
      </c>
      <c r="H91" s="61"/>
      <c r="I91" s="62"/>
      <c r="J91" s="61"/>
      <c r="L91" s="61"/>
      <c r="M91" s="61"/>
      <c r="N91" s="61"/>
      <c r="Q91" s="61"/>
      <c r="R91" s="61"/>
    </row>
    <row r="92" spans="2:18" x14ac:dyDescent="0.25">
      <c r="H92" s="61"/>
      <c r="I92" s="62"/>
      <c r="J92" s="61"/>
      <c r="L92" s="61"/>
      <c r="M92" s="61"/>
      <c r="N92" s="61"/>
      <c r="Q92" s="61"/>
      <c r="R92" s="61"/>
    </row>
    <row r="93" spans="2:18" x14ac:dyDescent="0.25">
      <c r="B93" s="37" t="s">
        <v>1</v>
      </c>
      <c r="H93" s="61"/>
      <c r="I93" s="62"/>
      <c r="J93" s="61"/>
      <c r="L93" s="61"/>
      <c r="M93" s="61"/>
      <c r="N93" s="61"/>
      <c r="Q93" s="61"/>
      <c r="R93" s="61"/>
    </row>
    <row r="94" spans="2:18" x14ac:dyDescent="0.25">
      <c r="B94" s="63" t="s">
        <v>68</v>
      </c>
      <c r="H94" s="61"/>
      <c r="I94" s="62"/>
      <c r="J94" s="61"/>
      <c r="L94" s="61"/>
      <c r="M94" s="61"/>
      <c r="N94" s="61"/>
      <c r="Q94" s="61"/>
      <c r="R94" s="61"/>
    </row>
    <row r="95" spans="2:18" x14ac:dyDescent="0.25">
      <c r="B95" s="63"/>
      <c r="H95" s="61"/>
      <c r="I95" s="62"/>
      <c r="J95" s="61"/>
      <c r="L95" s="61"/>
      <c r="M95" s="61"/>
      <c r="N95" s="61"/>
      <c r="Q95" s="61"/>
      <c r="R95" s="61"/>
    </row>
    <row r="96" spans="2:18" x14ac:dyDescent="0.25">
      <c r="B96" s="37" t="str">
        <f>IF(Lang="Français","Fusée à eau  ",IF(Lang="English","Water-rocket  ",""))</f>
        <v xml:space="preserve">Fusée à eau  </v>
      </c>
      <c r="H96" s="61"/>
      <c r="I96" s="62"/>
      <c r="J96" s="61"/>
      <c r="L96" s="61"/>
      <c r="M96" s="61"/>
      <c r="N96" s="61"/>
      <c r="Q96" s="61"/>
      <c r="R96" s="61"/>
    </row>
    <row r="97" spans="2:18" x14ac:dyDescent="0.25">
      <c r="B97" s="37" t="str">
        <f>IF(Lang="Français","Microfusée",IF(Lang="English","Micro-rocket",""))</f>
        <v>Microfusée</v>
      </c>
      <c r="H97" s="61"/>
      <c r="I97" s="62"/>
      <c r="J97" s="61"/>
      <c r="L97" s="61"/>
      <c r="M97" s="61"/>
      <c r="N97" s="61"/>
      <c r="Q97" s="61"/>
      <c r="R97" s="61"/>
    </row>
    <row r="98" spans="2:18" x14ac:dyDescent="0.25">
      <c r="B98" s="37" t="str">
        <f>IF(Lang="Français","Minifusée",IF(Lang="English","Mini-rocket",""))</f>
        <v>Minifusée</v>
      </c>
      <c r="H98" s="61"/>
      <c r="I98" s="62"/>
      <c r="J98" s="61"/>
      <c r="L98" s="61"/>
      <c r="M98" s="61"/>
      <c r="N98" s="61"/>
      <c r="Q98" s="61"/>
      <c r="R98" s="61"/>
    </row>
    <row r="99" spans="2:18" x14ac:dyDescent="0.25">
      <c r="B99" s="37" t="s">
        <v>399</v>
      </c>
      <c r="H99" s="61"/>
      <c r="I99" s="62"/>
      <c r="J99" s="61"/>
      <c r="L99" s="61"/>
      <c r="M99" s="61"/>
      <c r="N99" s="61"/>
      <c r="Q99" s="61"/>
      <c r="R99" s="61"/>
    </row>
    <row r="100" spans="2:18" x14ac:dyDescent="0.25">
      <c r="B100" s="37" t="str">
        <f>IF(Lang="Français","Fusée expérimentale.",IF(Lang="English","Experimental Rocket.",""))</f>
        <v>Fusée expérimentale.</v>
      </c>
      <c r="H100" s="61"/>
      <c r="I100" s="62"/>
      <c r="J100" s="61"/>
      <c r="L100" s="61"/>
      <c r="M100" s="61"/>
      <c r="N100" s="61"/>
      <c r="Q100" s="61"/>
      <c r="R100" s="61"/>
    </row>
    <row r="101" spans="2:18" x14ac:dyDescent="0.25">
      <c r="B101" s="37" t="s">
        <v>400</v>
      </c>
      <c r="H101" s="61"/>
      <c r="I101" s="62"/>
      <c r="J101" s="61"/>
      <c r="L101" s="61"/>
      <c r="M101" s="61"/>
      <c r="N101" s="61"/>
      <c r="Q101" s="61"/>
      <c r="R101" s="61"/>
    </row>
    <row r="102" spans="2:18" x14ac:dyDescent="0.25">
      <c r="B102" s="37"/>
      <c r="H102" s="61"/>
      <c r="I102" s="62"/>
      <c r="J102" s="61"/>
      <c r="L102" s="61"/>
      <c r="M102" s="61"/>
      <c r="N102" s="61"/>
      <c r="Q102" s="61"/>
      <c r="R102" s="61"/>
    </row>
    <row r="103" spans="2:18" x14ac:dyDescent="0.25">
      <c r="B103" s="37" t="str">
        <f>IF(Lang="Français","sans propu",IF(Lang="English","without motor",""))</f>
        <v>sans propu</v>
      </c>
      <c r="H103" s="61"/>
      <c r="I103" s="62"/>
      <c r="J103" s="61"/>
      <c r="L103" s="61"/>
      <c r="M103" s="61"/>
      <c r="N103" s="61"/>
      <c r="Q103" s="61"/>
      <c r="R103" s="61"/>
    </row>
    <row r="104" spans="2:18" x14ac:dyDescent="0.25">
      <c r="B104" s="37" t="str">
        <f>IF(Lang="Français","avec propu vide",IF(Lang="English","with empty motor",""))</f>
        <v>avec propu vide</v>
      </c>
      <c r="H104" s="61"/>
      <c r="I104" s="62"/>
      <c r="J104" s="61"/>
      <c r="L104" s="61"/>
      <c r="M104" s="61"/>
      <c r="N104" s="61"/>
      <c r="Q104" s="61"/>
      <c r="R104" s="61"/>
    </row>
    <row r="105" spans="2:18" x14ac:dyDescent="0.25">
      <c r="B105" s="37" t="str">
        <f>IF(Lang="Français","avec propu plein",IF(Lang="English","with loaded motor",""))</f>
        <v>avec propu plein</v>
      </c>
      <c r="H105" s="61"/>
      <c r="I105" s="62"/>
      <c r="J105" s="61"/>
      <c r="L105" s="61"/>
      <c r="M105" s="61"/>
      <c r="N105" s="61"/>
      <c r="Q105" s="61"/>
      <c r="R105" s="61"/>
    </row>
    <row r="106" spans="2:18" x14ac:dyDescent="0.25">
      <c r="B106" s="37"/>
      <c r="H106" s="61"/>
      <c r="I106" s="62"/>
      <c r="J106" s="61"/>
      <c r="L106" s="61"/>
      <c r="M106" s="61"/>
      <c r="N106" s="61"/>
      <c r="Q106" s="61"/>
      <c r="R106" s="61"/>
    </row>
    <row r="107" spans="2:18" x14ac:dyDescent="0.25">
      <c r="B107" s="37" t="str">
        <f>IF(Lang="Français","Parabolique (arrondie)",IF(Lang="English","Parabola (rounded)",""))</f>
        <v>Parabolique (arrondie)</v>
      </c>
      <c r="H107" s="61"/>
      <c r="I107" s="62"/>
      <c r="J107" s="61"/>
      <c r="L107" s="61"/>
      <c r="M107" s="61"/>
      <c r="N107" s="61"/>
      <c r="Q107" s="61"/>
      <c r="R107" s="61"/>
    </row>
    <row r="108" spans="2:18" x14ac:dyDescent="0.25">
      <c r="B108" s="63" t="str">
        <f>IF(Lang="Français","Ogivale (pointue)",IF(Lang="English","Ogive (sharp)",""))</f>
        <v>Ogivale (pointue)</v>
      </c>
      <c r="H108" s="61"/>
      <c r="I108" s="62"/>
      <c r="J108" s="61"/>
      <c r="L108" s="61"/>
      <c r="M108" s="61"/>
      <c r="N108" s="61"/>
      <c r="Q108" s="61"/>
      <c r="R108" s="61"/>
    </row>
    <row r="109" spans="2:18" x14ac:dyDescent="0.25">
      <c r="B109" s="37" t="str">
        <f>IF(Lang="Français","Conique (droite)",IF(Lang="English","Cone (straight)",""))</f>
        <v>Conique (droite)</v>
      </c>
      <c r="H109" s="61"/>
      <c r="I109" s="62"/>
      <c r="J109" s="61"/>
      <c r="L109" s="61"/>
      <c r="M109" s="61"/>
      <c r="N109" s="61"/>
      <c r="Q109" s="61"/>
      <c r="R109" s="61"/>
    </row>
    <row r="110" spans="2:18" x14ac:dyDescent="0.25">
      <c r="B110" s="64"/>
      <c r="H110" s="61"/>
      <c r="I110" s="62"/>
      <c r="J110" s="61"/>
      <c r="L110" s="61"/>
      <c r="M110" s="61"/>
      <c r="N110" s="61"/>
      <c r="Q110" s="61"/>
      <c r="R110" s="61"/>
    </row>
    <row r="111" spans="2:18" x14ac:dyDescent="0.25">
      <c r="B111" s="65" t="s">
        <v>426</v>
      </c>
      <c r="H111" s="61"/>
      <c r="I111" s="62"/>
      <c r="J111" s="61"/>
      <c r="L111" s="61"/>
      <c r="M111" s="61"/>
      <c r="N111" s="61"/>
      <c r="Q111" s="61"/>
      <c r="R111" s="61"/>
    </row>
    <row r="112" spans="2:18" x14ac:dyDescent="0.25">
      <c r="B112" s="65" t="s">
        <v>427</v>
      </c>
      <c r="H112" s="61"/>
      <c r="I112" s="62"/>
      <c r="J112" s="61"/>
      <c r="L112" s="61"/>
      <c r="M112" s="61"/>
      <c r="N112" s="61"/>
      <c r="Q112" s="61"/>
      <c r="R112" s="61"/>
    </row>
    <row r="113" spans="2:18" x14ac:dyDescent="0.25">
      <c r="B113" s="64"/>
      <c r="H113" s="61"/>
      <c r="I113" s="62"/>
      <c r="J113" s="61"/>
      <c r="L113" s="61"/>
      <c r="M113" s="61"/>
      <c r="N113" s="61"/>
      <c r="Q113" s="61"/>
      <c r="R113" s="61"/>
    </row>
    <row r="114" spans="2:18" x14ac:dyDescent="0.25">
      <c r="B114" s="65" t="str">
        <f>IF(Lang="Français","Fusée mono-diamètre,",IF(Lang="English","Mono-diameter rocket,",""))</f>
        <v>Fusée mono-diamètre,</v>
      </c>
      <c r="H114" s="61"/>
      <c r="I114" s="62"/>
      <c r="J114" s="61"/>
      <c r="L114" s="61"/>
      <c r="M114" s="61"/>
      <c r="N114" s="61"/>
      <c r="Q114" s="61"/>
      <c r="R114" s="61"/>
    </row>
    <row r="115" spans="2:18" x14ac:dyDescent="0.25">
      <c r="B115" s="65" t="str">
        <f>IF(Lang="Français","Plusieurs diamètres.",IF(Lang="English","Many diameters rocket.",""))</f>
        <v>Plusieurs diamètres.</v>
      </c>
      <c r="H115" s="61"/>
      <c r="I115" s="62"/>
      <c r="J115" s="61"/>
      <c r="L115" s="61"/>
      <c r="M115" s="61"/>
      <c r="N115" s="61"/>
      <c r="Q115" s="61"/>
      <c r="R115" s="61"/>
    </row>
    <row r="116" spans="2:18" x14ac:dyDescent="0.25">
      <c r="B116" s="65"/>
      <c r="H116" s="61"/>
      <c r="I116" s="62"/>
      <c r="J116" s="61"/>
      <c r="L116" s="61"/>
      <c r="M116" s="61"/>
      <c r="N116" s="61"/>
      <c r="Q116" s="61"/>
      <c r="R116" s="61"/>
    </row>
    <row r="117" spans="2:18" x14ac:dyDescent="0.25">
      <c r="B117" s="261" t="str">
        <f>IF(Lang="Français","Diagramme des critères de stabilité","Stability criterions diagram")</f>
        <v>Diagramme des critères de stabilité</v>
      </c>
      <c r="H117" s="61"/>
      <c r="I117" s="62"/>
      <c r="J117" s="61"/>
      <c r="L117" s="61"/>
      <c r="M117" s="61"/>
      <c r="N117" s="61"/>
      <c r="Q117" s="61"/>
      <c r="R117" s="61"/>
    </row>
    <row r="118" spans="2:18" x14ac:dyDescent="0.25">
      <c r="B118" s="261" t="str">
        <f>IF(Lang="Français","Marge Statique (MS)","Static Margin")</f>
        <v>Marge Statique (MS)</v>
      </c>
      <c r="H118" s="61"/>
      <c r="I118" s="62"/>
      <c r="J118" s="61"/>
      <c r="L118" s="61"/>
      <c r="M118" s="61"/>
      <c r="N118" s="61"/>
      <c r="Q118" s="61"/>
      <c r="R118" s="61"/>
    </row>
    <row r="119" spans="2:18" x14ac:dyDescent="0.25">
      <c r="B119" s="261" t="str">
        <f>IF(Lang="Français","Portance Cnα","Lift Cnα")</f>
        <v>Portance Cnα</v>
      </c>
      <c r="H119" s="61"/>
      <c r="I119" s="62"/>
      <c r="J119" s="61"/>
      <c r="L119" s="61"/>
      <c r="M119" s="61"/>
      <c r="N119" s="61"/>
      <c r="Q119" s="61"/>
      <c r="R119" s="61"/>
    </row>
    <row r="120" spans="2:18" x14ac:dyDescent="0.25">
      <c r="B120" s="65"/>
      <c r="H120" s="61"/>
      <c r="I120" s="62"/>
      <c r="J120" s="61"/>
      <c r="L120" s="61"/>
      <c r="M120" s="61"/>
      <c r="N120" s="61"/>
      <c r="Q120" s="61"/>
      <c r="R120" s="61"/>
    </row>
    <row r="121" spans="2:18" x14ac:dyDescent="0.25">
      <c r="B121" s="35" t="str">
        <f>IF(Lang="Français","Données pour les graphiques :",IF(Lang="English","Data for plots:",""))</f>
        <v>Données pour les graphiques :</v>
      </c>
      <c r="H121" s="61"/>
      <c r="I121" s="62"/>
      <c r="J121" s="61"/>
      <c r="L121" s="61"/>
      <c r="M121" s="61"/>
      <c r="N121" s="61"/>
      <c r="Q121" s="61"/>
      <c r="R121" s="61"/>
    </row>
    <row r="122" spans="2:18" x14ac:dyDescent="0.25">
      <c r="H122" s="61"/>
      <c r="I122" s="62"/>
      <c r="J122" s="61"/>
      <c r="L122" s="61"/>
      <c r="M122" s="61"/>
      <c r="N122" s="61"/>
      <c r="Q122" s="61"/>
      <c r="R122" s="61"/>
    </row>
    <row r="123" spans="2:18" x14ac:dyDescent="0.25">
      <c r="B123" s="66"/>
      <c r="C123" s="66" t="s">
        <v>69</v>
      </c>
      <c r="D123" s="66" t="s">
        <v>70</v>
      </c>
      <c r="E123" s="120" t="s">
        <v>71</v>
      </c>
      <c r="K123" s="66"/>
      <c r="R123" s="61"/>
    </row>
    <row r="124" spans="2:18" x14ac:dyDescent="0.25">
      <c r="B124" s="66" t="s">
        <v>73</v>
      </c>
      <c r="C124" s="67">
        <f>-Long_ogive</f>
        <v>-250</v>
      </c>
      <c r="D124" s="67">
        <v>0</v>
      </c>
      <c r="E124" s="121">
        <f t="shared" ref="E124:E136" si="0">-D124</f>
        <v>0</v>
      </c>
      <c r="K124" s="67"/>
    </row>
    <row r="125" spans="2:18" x14ac:dyDescent="0.25">
      <c r="B125" s="66" t="s">
        <v>73</v>
      </c>
      <c r="C125" s="67">
        <f>-Long_ogive</f>
        <v>-250</v>
      </c>
      <c r="D125" s="67">
        <f>D_og/2</f>
        <v>50</v>
      </c>
      <c r="E125" s="121">
        <f t="shared" si="0"/>
        <v>-50</v>
      </c>
      <c r="K125" s="67"/>
    </row>
    <row r="126" spans="2:18" x14ac:dyDescent="0.25">
      <c r="B126" s="66" t="s">
        <v>74</v>
      </c>
      <c r="C126" s="67">
        <f>IF(AND(RIGHT(Nb_diam,1)=".",X_j), -X_j, C125 )</f>
        <v>-250</v>
      </c>
      <c r="D126" s="67">
        <f>IF(AND(RIGHT(Nb_diam,1)=".",X_j), D1j/2, D125 )</f>
        <v>50</v>
      </c>
      <c r="E126" s="121">
        <f t="shared" si="0"/>
        <v>-50</v>
      </c>
      <c r="K126" s="67"/>
    </row>
    <row r="127" spans="2:18" x14ac:dyDescent="0.25">
      <c r="B127" s="66" t="s">
        <v>75</v>
      </c>
      <c r="C127" s="67">
        <f>IF(AND(RIGHT(Nb_diam,1)=".",X_j), -X_j-l_j, C126 )</f>
        <v>-250</v>
      </c>
      <c r="D127" s="67">
        <f>IF(AND(RIGHT(Nb_diam,1)=".",X_j), D2j/2, D126 )</f>
        <v>50</v>
      </c>
      <c r="E127" s="121">
        <f t="shared" si="0"/>
        <v>-50</v>
      </c>
      <c r="K127" s="67"/>
    </row>
    <row r="128" spans="2:18" x14ac:dyDescent="0.25">
      <c r="B128" s="66" t="s">
        <v>76</v>
      </c>
      <c r="C128" s="67">
        <f>IF(AND(RIGHT(Nb_diam,1)=".",X_r), -X_r, C127 )</f>
        <v>-250</v>
      </c>
      <c r="D128" s="67">
        <f>IF(AND(RIGHT(Nb_diam,1)=".",X_r), D1r/2, D127 )</f>
        <v>50</v>
      </c>
      <c r="E128" s="121">
        <f t="shared" si="0"/>
        <v>-50</v>
      </c>
      <c r="K128" s="67"/>
    </row>
    <row r="129" spans="2:11" x14ac:dyDescent="0.25">
      <c r="B129" s="66" t="s">
        <v>77</v>
      </c>
      <c r="C129" s="67">
        <f>IF(AND(RIGHT(Nb_diam,1)=".",X_r), -X_r-l_r, C128 )</f>
        <v>-250</v>
      </c>
      <c r="D129" s="67">
        <f>IF(AND(RIGHT(Nb_diam,1)=".",X_r), D2r/2, D128 )</f>
        <v>50</v>
      </c>
      <c r="E129" s="121">
        <f t="shared" si="0"/>
        <v>-50</v>
      </c>
      <c r="K129" s="67"/>
    </row>
    <row r="130" spans="2:11" x14ac:dyDescent="0.25">
      <c r="B130" s="66" t="s">
        <v>78</v>
      </c>
      <c r="C130" s="67">
        <f>-Long_tot</f>
        <v>-1800</v>
      </c>
      <c r="D130" s="67">
        <f>D129</f>
        <v>50</v>
      </c>
      <c r="E130" s="121">
        <f t="shared" si="0"/>
        <v>-50</v>
      </c>
      <c r="K130" s="67"/>
    </row>
    <row r="131" spans="2:11" x14ac:dyDescent="0.25">
      <c r="B131" s="66" t="s">
        <v>78</v>
      </c>
      <c r="C131" s="67">
        <f>-Long_tot</f>
        <v>-1800</v>
      </c>
      <c r="D131" s="67">
        <v>0</v>
      </c>
      <c r="E131" s="121">
        <f t="shared" si="0"/>
        <v>0</v>
      </c>
      <c r="K131" s="67"/>
    </row>
    <row r="132" spans="2:11" x14ac:dyDescent="0.25">
      <c r="B132" s="217" t="s">
        <v>79</v>
      </c>
      <c r="C132" s="231">
        <f>-X_ail+m_ail</f>
        <v>-1580</v>
      </c>
      <c r="D132" s="231">
        <f>D_ail/2</f>
        <v>50</v>
      </c>
      <c r="E132" s="232">
        <f t="shared" si="0"/>
        <v>-50</v>
      </c>
      <c r="K132" s="67"/>
    </row>
    <row r="133" spans="2:11" x14ac:dyDescent="0.25">
      <c r="B133" s="219" t="s">
        <v>80</v>
      </c>
      <c r="C133" s="233">
        <f>-X_ail+m_ail-p_ail</f>
        <v>-1780</v>
      </c>
      <c r="D133" s="233">
        <f>D_ail/2+E_ail</f>
        <v>200</v>
      </c>
      <c r="E133" s="234">
        <f t="shared" si="0"/>
        <v>-200</v>
      </c>
      <c r="K133" s="67"/>
    </row>
    <row r="134" spans="2:11" x14ac:dyDescent="0.25">
      <c r="B134" s="219" t="s">
        <v>81</v>
      </c>
      <c r="C134" s="233">
        <f>-X_ail+m_ail-p_ail-n_ail</f>
        <v>-1880</v>
      </c>
      <c r="D134" s="233">
        <f>D_ail/2+E_ail</f>
        <v>200</v>
      </c>
      <c r="E134" s="234">
        <f t="shared" si="0"/>
        <v>-200</v>
      </c>
      <c r="K134" s="67"/>
    </row>
    <row r="135" spans="2:11" x14ac:dyDescent="0.25">
      <c r="B135" s="219" t="s">
        <v>82</v>
      </c>
      <c r="C135" s="233">
        <f>-X_ail</f>
        <v>-1800</v>
      </c>
      <c r="D135" s="233">
        <f>D_ail/2</f>
        <v>50</v>
      </c>
      <c r="E135" s="234">
        <f t="shared" si="0"/>
        <v>-50</v>
      </c>
      <c r="K135" s="67"/>
    </row>
    <row r="136" spans="2:11" x14ac:dyDescent="0.25">
      <c r="B136" s="221" t="s">
        <v>79</v>
      </c>
      <c r="C136" s="235">
        <f>-X_ail+m_ail</f>
        <v>-1580</v>
      </c>
      <c r="D136" s="235">
        <f>D_ail/2</f>
        <v>50</v>
      </c>
      <c r="E136" s="236">
        <f t="shared" si="0"/>
        <v>-50</v>
      </c>
      <c r="K136" s="67"/>
    </row>
    <row r="137" spans="2:11" x14ac:dyDescent="0.25">
      <c r="B137" s="226" t="str">
        <f>IF(E_ail&gt;0,IF(Lang="Français","Envergure","Span"),"")</f>
        <v>Envergure</v>
      </c>
      <c r="C137" s="231">
        <f>MIN(-X_ail,-X_ail+m_ail-p_ail-n_ail)-Long_tot/30</f>
        <v>-1940</v>
      </c>
      <c r="D137" s="242">
        <f>-D_ail/2-E_ail</f>
        <v>-200</v>
      </c>
      <c r="E137" s="247"/>
      <c r="K137" s="67"/>
    </row>
    <row r="138" spans="2:11" x14ac:dyDescent="0.25">
      <c r="B138" s="229" t="s">
        <v>167</v>
      </c>
      <c r="C138" s="233">
        <f>MIN(-X_ail,-X_ail+m_ail-p_ail-n_ail)-Long_tot/30</f>
        <v>-1940</v>
      </c>
      <c r="D138" s="243">
        <f>-D_ail/2-E_ail/2</f>
        <v>-125</v>
      </c>
      <c r="E138" s="247"/>
      <c r="K138" s="67"/>
    </row>
    <row r="139" spans="2:11" x14ac:dyDescent="0.25">
      <c r="B139" s="248" t="s">
        <v>163</v>
      </c>
      <c r="C139" s="235">
        <f>MIN(-X_ail,-X_ail+m_ail-p_ail-n_ail)-Long_tot/30</f>
        <v>-1940</v>
      </c>
      <c r="D139" s="244">
        <f>-D_ail/2</f>
        <v>-50</v>
      </c>
      <c r="E139" s="247"/>
      <c r="K139" s="67"/>
    </row>
    <row r="140" spans="2:11" x14ac:dyDescent="0.25">
      <c r="B140" s="226" t="str">
        <f>IF(Lang="Français","Emplanture","Root edge")</f>
        <v>Emplanture</v>
      </c>
      <c r="C140" s="231">
        <f>-X_ail+m_ail</f>
        <v>-1580</v>
      </c>
      <c r="D140" s="242">
        <f>D_ail/2+E_ail+Long_tot/20</f>
        <v>290</v>
      </c>
      <c r="E140" s="247"/>
      <c r="K140" s="67"/>
    </row>
    <row r="141" spans="2:11" x14ac:dyDescent="0.25">
      <c r="B141" s="229" t="s">
        <v>169</v>
      </c>
      <c r="C141" s="233">
        <f>-X_ail+m_ail/2</f>
        <v>-1690</v>
      </c>
      <c r="D141" s="243">
        <f>D_ail/2+E_ail+Long_tot/20</f>
        <v>290</v>
      </c>
      <c r="E141" s="247"/>
      <c r="K141" s="67"/>
    </row>
    <row r="142" spans="2:11" x14ac:dyDescent="0.25">
      <c r="B142" s="248" t="s">
        <v>170</v>
      </c>
      <c r="C142" s="235">
        <f>-X_ail</f>
        <v>-1800</v>
      </c>
      <c r="D142" s="244">
        <f>D_ail/2+E_ail+Long_tot/20</f>
        <v>290</v>
      </c>
      <c r="E142" s="247"/>
      <c r="K142" s="67"/>
    </row>
    <row r="143" spans="2:11" x14ac:dyDescent="0.25">
      <c r="B143" s="226" t="str">
        <f>IF(p_ail&lt;&gt;0,IF(Lang="Français","Flèche","Offset"),"")</f>
        <v>Flèche</v>
      </c>
      <c r="C143" s="231">
        <f>-X_ail+m_ail</f>
        <v>-1580</v>
      </c>
      <c r="D143" s="242">
        <f>-D_ail/2-E_ail-Long_tot/30</f>
        <v>-260</v>
      </c>
      <c r="E143" s="247"/>
      <c r="K143" s="67"/>
    </row>
    <row r="144" spans="2:11" x14ac:dyDescent="0.25">
      <c r="B144" s="229" t="s">
        <v>166</v>
      </c>
      <c r="C144" s="233">
        <f>-X_ail+m_ail-p_ail/2</f>
        <v>-1680</v>
      </c>
      <c r="D144" s="243">
        <f>-D_ail/2-E_ail-Long_tot/30</f>
        <v>-260</v>
      </c>
      <c r="E144" s="247"/>
      <c r="K144" s="67"/>
    </row>
    <row r="145" spans="2:11" x14ac:dyDescent="0.25">
      <c r="B145" s="248" t="s">
        <v>164</v>
      </c>
      <c r="C145" s="235">
        <f>-X_ail+m_ail-p_ail</f>
        <v>-1780</v>
      </c>
      <c r="D145" s="244">
        <f>-D_ail/2-E_ail-Long_tot/30</f>
        <v>-260</v>
      </c>
      <c r="E145" s="247"/>
      <c r="K145" s="67"/>
    </row>
    <row r="146" spans="2:11" x14ac:dyDescent="0.25">
      <c r="B146" s="226" t="str">
        <f>IF(n_ail&gt;0,IF(Lang="Français","Saumon","Tip edge"),"")</f>
        <v>Saumon</v>
      </c>
      <c r="C146" s="231">
        <f>-X_ail+m_ail-p_ail</f>
        <v>-1780</v>
      </c>
      <c r="D146" s="242">
        <f>-D_ail/2-E_ail-Long_tot/20</f>
        <v>-290</v>
      </c>
      <c r="E146" s="247"/>
      <c r="K146" s="67"/>
    </row>
    <row r="147" spans="2:11" x14ac:dyDescent="0.25">
      <c r="B147" s="229" t="s">
        <v>168</v>
      </c>
      <c r="C147" s="233">
        <f>-X_ail+m_ail-p_ail-n_ail/2</f>
        <v>-1830</v>
      </c>
      <c r="D147" s="243">
        <f>-D_ail/2-E_ail-Long_tot/20</f>
        <v>-290</v>
      </c>
      <c r="E147" s="247"/>
      <c r="K147" s="67"/>
    </row>
    <row r="148" spans="2:11" x14ac:dyDescent="0.25">
      <c r="B148" s="248" t="s">
        <v>165</v>
      </c>
      <c r="C148" s="235">
        <f>-X_ail+m_ail-p_ail-n_ail</f>
        <v>-1880</v>
      </c>
      <c r="D148" s="244">
        <f>-D_ail/2-E_ail-Long_tot/20</f>
        <v>-290</v>
      </c>
      <c r="E148" s="247"/>
      <c r="K148" s="67"/>
    </row>
    <row r="149" spans="2:11" x14ac:dyDescent="0.25">
      <c r="B149" s="217" t="s">
        <v>83</v>
      </c>
      <c r="C149" s="231">
        <f ca="1">-XcgPlein</f>
        <v>-1180.3789364997419</v>
      </c>
      <c r="D149" s="242">
        <v>0</v>
      </c>
      <c r="E149" s="121"/>
      <c r="K149" s="67"/>
    </row>
    <row r="150" spans="2:11" x14ac:dyDescent="0.25">
      <c r="B150" s="221" t="s">
        <v>84</v>
      </c>
      <c r="C150" s="235">
        <f ca="1">-XcgVide</f>
        <v>-1134.06195099399</v>
      </c>
      <c r="D150" s="244">
        <v>0</v>
      </c>
      <c r="E150" s="121"/>
      <c r="K150" s="67"/>
    </row>
    <row r="151" spans="2:11" x14ac:dyDescent="0.25">
      <c r="B151" s="217" t="s">
        <v>85</v>
      </c>
      <c r="C151" s="231">
        <f>-XCp</f>
        <v>-1542.904434046003</v>
      </c>
      <c r="D151" s="242">
        <v>0</v>
      </c>
      <c r="E151" s="121"/>
      <c r="K151" s="67"/>
    </row>
    <row r="152" spans="2:11" x14ac:dyDescent="0.25">
      <c r="B152" s="221" t="s">
        <v>85</v>
      </c>
      <c r="C152" s="235">
        <f>-XCp</f>
        <v>-1542.904434046003</v>
      </c>
      <c r="D152" s="244">
        <f>Cn*D_ref/CritCnmin</f>
        <v>127.56676226462501</v>
      </c>
      <c r="E152" s="121"/>
      <c r="K152" s="67"/>
    </row>
    <row r="153" spans="2:11" x14ac:dyDescent="0.25">
      <c r="B153" s="219" t="s">
        <v>424</v>
      </c>
      <c r="C153" s="233">
        <f>-XCp0</f>
        <v>-1542.904434046003</v>
      </c>
      <c r="D153" s="243">
        <f>Cn0*D_ref/CritCnmin</f>
        <v>127.56676226462501</v>
      </c>
      <c r="E153" s="121"/>
      <c r="K153" s="67"/>
    </row>
    <row r="154" spans="2:11" x14ac:dyDescent="0.25">
      <c r="B154" s="219" t="s">
        <v>424</v>
      </c>
      <c r="C154" s="233">
        <f>-XCp0</f>
        <v>-1542.904434046003</v>
      </c>
      <c r="D154" s="243">
        <v>0</v>
      </c>
      <c r="E154" s="121"/>
      <c r="K154" s="67"/>
    </row>
    <row r="155" spans="2:11" x14ac:dyDescent="0.25">
      <c r="B155" s="226" t="str">
        <f>IF(n_ail&gt;0,IF(Lang="Français","Marge Statique","Static Margin"),"")</f>
        <v>Marge Statique</v>
      </c>
      <c r="C155" s="231">
        <f ca="1">(-XcgPlein-XcgVide)/2</f>
        <v>-1157.2204437468658</v>
      </c>
      <c r="D155" s="242">
        <f>-D_ail/2-E_ail-Long_tot/20</f>
        <v>-290</v>
      </c>
      <c r="E155" s="121"/>
      <c r="K155" s="67"/>
    </row>
    <row r="156" spans="2:11" x14ac:dyDescent="0.25">
      <c r="B156" s="229" t="s">
        <v>171</v>
      </c>
      <c r="C156" s="233">
        <f ca="1">(C155+C157)/2</f>
        <v>-1350.0624388964343</v>
      </c>
      <c r="D156" s="243">
        <f>-D_ail/2-E_ail-Long_tot/20</f>
        <v>-290</v>
      </c>
      <c r="E156" s="121"/>
      <c r="K156" s="67"/>
    </row>
    <row r="157" spans="2:11" x14ac:dyDescent="0.25">
      <c r="B157" s="248" t="s">
        <v>172</v>
      </c>
      <c r="C157" s="235">
        <f>-XCp</f>
        <v>-1542.904434046003</v>
      </c>
      <c r="D157" s="244">
        <f>-D_ail/2-E_ail-Long_tot/20</f>
        <v>-290</v>
      </c>
      <c r="E157" s="121"/>
      <c r="K157" s="67"/>
    </row>
    <row r="158" spans="2:11" x14ac:dyDescent="0.25">
      <c r="B158" s="217" t="s">
        <v>86</v>
      </c>
      <c r="C158" s="231">
        <f>IF(LEFT(Type_masquage,1)="M",0,-X_can+m_can)</f>
        <v>0</v>
      </c>
      <c r="D158" s="231">
        <f>IF(LEFT(Type_masquage,1)="M",0,D_ail/2)</f>
        <v>0</v>
      </c>
      <c r="E158" s="232">
        <f t="shared" ref="E158:E167" si="1">-D158</f>
        <v>0</v>
      </c>
      <c r="K158" s="67"/>
    </row>
    <row r="159" spans="2:11" x14ac:dyDescent="0.25">
      <c r="B159" s="219" t="s">
        <v>87</v>
      </c>
      <c r="C159" s="233">
        <f>IF(LEFT(Type_masquage,1)="M",0,-X_can+m_can-p_can)</f>
        <v>0</v>
      </c>
      <c r="D159" s="233">
        <f>IF(LEFT(Type_masquage,1)="M",0,D_ail/2+E_can)</f>
        <v>0</v>
      </c>
      <c r="E159" s="234">
        <f t="shared" si="1"/>
        <v>0</v>
      </c>
      <c r="K159" s="67"/>
    </row>
    <row r="160" spans="2:11" x14ac:dyDescent="0.25">
      <c r="B160" s="219" t="s">
        <v>88</v>
      </c>
      <c r="C160" s="233">
        <f>IF(LEFT(Type_masquage,1)="M",0,-X_can+m_can-p_can-n_can)</f>
        <v>0</v>
      </c>
      <c r="D160" s="233">
        <f>IF(LEFT(Type_masquage,1)="M",0,D_ail/2+E_can)</f>
        <v>0</v>
      </c>
      <c r="E160" s="234">
        <f t="shared" si="1"/>
        <v>0</v>
      </c>
      <c r="K160" s="67"/>
    </row>
    <row r="161" spans="2:11" x14ac:dyDescent="0.25">
      <c r="B161" s="219" t="s">
        <v>89</v>
      </c>
      <c r="C161" s="233">
        <f>IF(LEFT(Type_masquage,1)="M",0,-X_can)</f>
        <v>0</v>
      </c>
      <c r="D161" s="233">
        <f>IF(LEFT(Type_masquage,1)="M",0,D_ail/2)</f>
        <v>0</v>
      </c>
      <c r="E161" s="234">
        <f t="shared" si="1"/>
        <v>0</v>
      </c>
      <c r="K161" s="67"/>
    </row>
    <row r="162" spans="2:11" x14ac:dyDescent="0.25">
      <c r="B162" s="221" t="s">
        <v>86</v>
      </c>
      <c r="C162" s="235">
        <f>IF(LEFT(Type_masquage,1)="M",0,-X_can+m_can)</f>
        <v>0</v>
      </c>
      <c r="D162" s="235">
        <f>IF(LEFT(Type_masquage,1)="M",0,D_ail/2)</f>
        <v>0</v>
      </c>
      <c r="E162" s="236">
        <f t="shared" si="1"/>
        <v>0</v>
      </c>
      <c r="K162" s="67"/>
    </row>
    <row r="163" spans="2:11" x14ac:dyDescent="0.25">
      <c r="B163" s="217" t="s">
        <v>90</v>
      </c>
      <c r="C163" s="231">
        <f>IF(LEFT(Type_masquage,1)="B",-X_int+m_int,0)</f>
        <v>0</v>
      </c>
      <c r="D163" s="231">
        <f>IF(LEFT(Type_masquage,1)="B",D_int/2,0)</f>
        <v>0</v>
      </c>
      <c r="E163" s="232">
        <f t="shared" si="1"/>
        <v>0</v>
      </c>
      <c r="K163" s="67"/>
    </row>
    <row r="164" spans="2:11" x14ac:dyDescent="0.25">
      <c r="B164" s="219" t="s">
        <v>91</v>
      </c>
      <c r="C164" s="233">
        <f>IF(LEFT(Type_masquage,1)="B",-X_int+m_int-p_int,0)</f>
        <v>0</v>
      </c>
      <c r="D164" s="233">
        <f>IF(LEFT(Type_masquage,1)="B",D_int/2+E_int,0)</f>
        <v>0</v>
      </c>
      <c r="E164" s="234">
        <f t="shared" si="1"/>
        <v>0</v>
      </c>
      <c r="K164" s="67"/>
    </row>
    <row r="165" spans="2:11" x14ac:dyDescent="0.25">
      <c r="B165" s="219" t="s">
        <v>92</v>
      </c>
      <c r="C165" s="233">
        <f>IF(LEFT(Type_masquage,1)="B",-X_int+m_int-p_int-n_int,0)</f>
        <v>0</v>
      </c>
      <c r="D165" s="233">
        <f>IF(LEFT(Type_masquage,1)="B",D_int/2+E_int,0)</f>
        <v>0</v>
      </c>
      <c r="E165" s="234">
        <f t="shared" si="1"/>
        <v>0</v>
      </c>
      <c r="K165" s="67"/>
    </row>
    <row r="166" spans="2:11" x14ac:dyDescent="0.25">
      <c r="B166" s="219" t="s">
        <v>93</v>
      </c>
      <c r="C166" s="233">
        <f>IF(LEFT(Type_masquage,1)="B",-X_int,0)</f>
        <v>0</v>
      </c>
      <c r="D166" s="233">
        <f>IF(LEFT(Type_masquage,1)="B",D_int/2,0)</f>
        <v>0</v>
      </c>
      <c r="E166" s="234">
        <f t="shared" si="1"/>
        <v>0</v>
      </c>
      <c r="K166" s="67"/>
    </row>
    <row r="167" spans="2:11" x14ac:dyDescent="0.25">
      <c r="B167" s="221" t="s">
        <v>90</v>
      </c>
      <c r="C167" s="235">
        <f>IF(LEFT(Type_masquage,1)="B",-X_int+m_int,0)</f>
        <v>0</v>
      </c>
      <c r="D167" s="235">
        <f>IF(LEFT(Type_masquage,1)="B",D_int/2,0)</f>
        <v>0</v>
      </c>
      <c r="E167" s="236">
        <f t="shared" si="1"/>
        <v>0</v>
      </c>
      <c r="K167" s="67"/>
    </row>
    <row r="168" spans="2:11" x14ac:dyDescent="0.25">
      <c r="B168" s="66" t="s">
        <v>94</v>
      </c>
      <c r="C168" s="67">
        <f>-MAX(Long_tot, X_ail-m_ail+p_ail+n_ail, (E_ail+D_ail/2)*3.2)*1.01</f>
        <v>-1898.8</v>
      </c>
      <c r="D168" s="67">
        <f>MAX(E_ail+D_ail/2, Long_tot/3)</f>
        <v>600</v>
      </c>
      <c r="E168" s="121"/>
      <c r="K168" s="67"/>
    </row>
    <row r="169" spans="2:11" x14ac:dyDescent="0.25">
      <c r="B169" s="66" t="s">
        <v>94</v>
      </c>
      <c r="C169" s="67">
        <f>C168</f>
        <v>-1898.8</v>
      </c>
      <c r="D169" s="67">
        <f>-D168</f>
        <v>-600</v>
      </c>
      <c r="E169" s="121"/>
      <c r="K169" s="67"/>
    </row>
    <row r="170" spans="2:11" x14ac:dyDescent="0.25">
      <c r="B170" s="217" t="s">
        <v>95</v>
      </c>
      <c r="C170" s="231">
        <f ca="1">-XpropuRef+Long_propu</f>
        <v>-1312</v>
      </c>
      <c r="D170" s="242">
        <f ca="1">-Diam_propu/2</f>
        <v>-27</v>
      </c>
      <c r="E170" s="121"/>
      <c r="K170" s="67"/>
    </row>
    <row r="171" spans="2:11" x14ac:dyDescent="0.25">
      <c r="B171" s="219" t="s">
        <v>96</v>
      </c>
      <c r="C171" s="233">
        <f ca="1">-XpropuRef+Long_propu</f>
        <v>-1312</v>
      </c>
      <c r="D171" s="243">
        <f ca="1">Diam_propu/2</f>
        <v>27</v>
      </c>
      <c r="E171" s="121"/>
      <c r="K171" s="67"/>
    </row>
    <row r="172" spans="2:11" x14ac:dyDescent="0.25">
      <c r="B172" s="219" t="s">
        <v>97</v>
      </c>
      <c r="C172" s="233">
        <f>-XpropuRef</f>
        <v>-1800</v>
      </c>
      <c r="D172" s="243">
        <f ca="1">Diam_propu/2</f>
        <v>27</v>
      </c>
      <c r="E172" s="121"/>
      <c r="K172" s="67"/>
    </row>
    <row r="173" spans="2:11" x14ac:dyDescent="0.25">
      <c r="B173" s="219" t="s">
        <v>98</v>
      </c>
      <c r="C173" s="233">
        <f>-XpropuRef</f>
        <v>-1800</v>
      </c>
      <c r="D173" s="243">
        <f ca="1">-Diam_propu/2</f>
        <v>-27</v>
      </c>
      <c r="E173" s="121"/>
      <c r="K173" s="67"/>
    </row>
    <row r="174" spans="2:11" x14ac:dyDescent="0.25">
      <c r="B174" s="221" t="s">
        <v>99</v>
      </c>
      <c r="C174" s="235">
        <f ca="1">-XpropuRef+Long_propu</f>
        <v>-1312</v>
      </c>
      <c r="D174" s="244">
        <f ca="1">-Diam_propu/2</f>
        <v>-27</v>
      </c>
      <c r="E174" s="121"/>
      <c r="F174" s="226" t="s">
        <v>160</v>
      </c>
      <c r="G174" s="227" t="s">
        <v>161</v>
      </c>
      <c r="H174" s="228" t="s">
        <v>162</v>
      </c>
      <c r="K174" s="67"/>
    </row>
    <row r="175" spans="2:11" x14ac:dyDescent="0.25">
      <c r="B175" s="217" t="s">
        <v>72</v>
      </c>
      <c r="C175" s="231">
        <v>0</v>
      </c>
      <c r="D175" s="231">
        <v>0</v>
      </c>
      <c r="E175" s="232">
        <f t="shared" ref="E175:E180" si="2">-D175</f>
        <v>0</v>
      </c>
      <c r="F175" s="229">
        <v>0</v>
      </c>
      <c r="G175" s="214">
        <v>0</v>
      </c>
      <c r="H175" s="223">
        <v>0</v>
      </c>
      <c r="K175" s="67"/>
    </row>
    <row r="176" spans="2:11" x14ac:dyDescent="0.25">
      <c r="B176" s="219" t="s">
        <v>73</v>
      </c>
      <c r="C176" s="233">
        <f>-Long_ogive*0.1</f>
        <v>-25</v>
      </c>
      <c r="D176" s="233">
        <f>IF(LEFT(Forme_ogive,5)="Parab",H176,IF(LEFT(Forme_ogive,4)="Ogiv",G176,IF(LEFT(Forme_ogive,3)="Con",F176)))</f>
        <v>10</v>
      </c>
      <c r="E176" s="234">
        <f t="shared" si="2"/>
        <v>-10</v>
      </c>
      <c r="F176" s="219">
        <f>D_og/2*0.1</f>
        <v>5</v>
      </c>
      <c r="G176" s="214">
        <f>D_og/2*0.2</f>
        <v>10</v>
      </c>
      <c r="H176" s="223">
        <f>D_og/2*0.5</f>
        <v>25</v>
      </c>
      <c r="K176" s="67"/>
    </row>
    <row r="177" spans="2:11" x14ac:dyDescent="0.25">
      <c r="B177" s="219" t="s">
        <v>73</v>
      </c>
      <c r="C177" s="233">
        <f>-Long_ogive/4</f>
        <v>-62.5</v>
      </c>
      <c r="D177" s="233">
        <f>IF(LEFT(Forme_ogive,5)="Parab",H177,IF(LEFT(Forme_ogive,4)="Ogiv",G177,IF(LEFT(Forme_ogive,3)="Con",F177)))</f>
        <v>25</v>
      </c>
      <c r="E177" s="234">
        <f t="shared" si="2"/>
        <v>-25</v>
      </c>
      <c r="F177" s="219">
        <f>D_og/2*1/4</f>
        <v>12.5</v>
      </c>
      <c r="G177" s="214">
        <f>D_og/2/2</f>
        <v>25</v>
      </c>
      <c r="H177" s="223">
        <f>D_og/2*0.7</f>
        <v>35</v>
      </c>
      <c r="K177" s="67"/>
    </row>
    <row r="178" spans="2:11" x14ac:dyDescent="0.25">
      <c r="B178" s="219" t="s">
        <v>73</v>
      </c>
      <c r="C178" s="233">
        <f>-Long_ogive/2</f>
        <v>-125</v>
      </c>
      <c r="D178" s="233">
        <f>IF(LEFT(Forme_ogive,5)="Parab",H178,IF(LEFT(Forme_ogive,4)="Ogiv",G178,IF(LEFT(Forme_ogive,3)="Con",F178)))</f>
        <v>37.5</v>
      </c>
      <c r="E178" s="234">
        <f t="shared" si="2"/>
        <v>-37.5</v>
      </c>
      <c r="F178" s="219">
        <f>D_og/2/2</f>
        <v>25</v>
      </c>
      <c r="G178" s="214">
        <f>D_og/2*3/4</f>
        <v>37.5</v>
      </c>
      <c r="H178" s="223">
        <f>D_og/2*0.88</f>
        <v>44</v>
      </c>
      <c r="K178" s="67"/>
    </row>
    <row r="179" spans="2:11" x14ac:dyDescent="0.25">
      <c r="B179" s="219" t="s">
        <v>73</v>
      </c>
      <c r="C179" s="233">
        <f>-Long_ogive*3/4</f>
        <v>-187.5</v>
      </c>
      <c r="D179" s="233">
        <f>IF(LEFT(Forme_ogive,5)="Parab",H179,IF(LEFT(Forme_ogive,4)="Ogiv",G179,IF(LEFT(Forme_ogive,3)="Con",F179)))</f>
        <v>45</v>
      </c>
      <c r="E179" s="234">
        <f t="shared" si="2"/>
        <v>-45</v>
      </c>
      <c r="F179" s="219">
        <f>D_og/2*3/4</f>
        <v>37.5</v>
      </c>
      <c r="G179" s="214">
        <f>D_og/2*0.9</f>
        <v>45</v>
      </c>
      <c r="H179" s="223">
        <f>D_og/2*0.95</f>
        <v>47.5</v>
      </c>
      <c r="K179" s="67"/>
    </row>
    <row r="180" spans="2:11" x14ac:dyDescent="0.25">
      <c r="B180" s="221" t="s">
        <v>73</v>
      </c>
      <c r="C180" s="235">
        <f>-Long_ogive</f>
        <v>-250</v>
      </c>
      <c r="D180" s="235">
        <f>D_og/2</f>
        <v>50</v>
      </c>
      <c r="E180" s="236">
        <f t="shared" si="2"/>
        <v>-50</v>
      </c>
      <c r="F180" s="221">
        <f>D_og/2</f>
        <v>50</v>
      </c>
      <c r="G180" s="230">
        <f>D_og/2</f>
        <v>50</v>
      </c>
      <c r="H180" s="224">
        <f>D_og/2</f>
        <v>50</v>
      </c>
      <c r="K180" s="56"/>
    </row>
    <row r="181" spans="2:11" x14ac:dyDescent="0.25">
      <c r="B181" s="66" t="s">
        <v>100</v>
      </c>
      <c r="C181" s="66" t="s">
        <v>101</v>
      </c>
      <c r="D181" s="217" t="s">
        <v>100</v>
      </c>
      <c r="E181" s="239" t="s">
        <v>101</v>
      </c>
      <c r="K181" s="66"/>
    </row>
    <row r="182" spans="2:11" x14ac:dyDescent="0.25">
      <c r="B182" s="217">
        <v>0</v>
      </c>
      <c r="C182" s="237">
        <f>CritCnmin</f>
        <v>15</v>
      </c>
      <c r="D182" s="219">
        <v>0.5</v>
      </c>
      <c r="E182" s="240">
        <f t="shared" ref="E182:E187" si="3">CritMsCnmin/D182</f>
        <v>80</v>
      </c>
      <c r="K182" s="66"/>
    </row>
    <row r="183" spans="2:11" x14ac:dyDescent="0.25">
      <c r="B183" s="221">
        <v>7</v>
      </c>
      <c r="C183" s="230">
        <f>CritCnmin</f>
        <v>15</v>
      </c>
      <c r="D183" s="219">
        <v>1</v>
      </c>
      <c r="E183" s="240">
        <f t="shared" si="3"/>
        <v>40</v>
      </c>
      <c r="K183" s="66"/>
    </row>
    <row r="184" spans="2:11" x14ac:dyDescent="0.25">
      <c r="B184" s="217">
        <v>0</v>
      </c>
      <c r="C184" s="237">
        <f>CritCnmax</f>
        <v>40</v>
      </c>
      <c r="D184" s="219">
        <v>2</v>
      </c>
      <c r="E184" s="240">
        <f t="shared" si="3"/>
        <v>20</v>
      </c>
      <c r="K184" s="66"/>
    </row>
    <row r="185" spans="2:11" x14ac:dyDescent="0.25">
      <c r="B185" s="221">
        <v>7</v>
      </c>
      <c r="C185" s="230">
        <f>CritCnmax</f>
        <v>40</v>
      </c>
      <c r="D185" s="219">
        <v>3</v>
      </c>
      <c r="E185" s="240">
        <f t="shared" si="3"/>
        <v>13.333333333333334</v>
      </c>
      <c r="K185" s="66"/>
    </row>
    <row r="186" spans="2:11" x14ac:dyDescent="0.25">
      <c r="B186" s="217">
        <f>CritMsmin</f>
        <v>2</v>
      </c>
      <c r="C186" s="237">
        <v>0</v>
      </c>
      <c r="D186" s="219">
        <v>5</v>
      </c>
      <c r="E186" s="240">
        <f t="shared" si="3"/>
        <v>8</v>
      </c>
      <c r="K186" s="66"/>
    </row>
    <row r="187" spans="2:11" x14ac:dyDescent="0.25">
      <c r="B187" s="221">
        <f>CritMsmin</f>
        <v>2</v>
      </c>
      <c r="C187" s="230">
        <v>55</v>
      </c>
      <c r="D187" s="219">
        <v>7</v>
      </c>
      <c r="E187" s="240">
        <f t="shared" si="3"/>
        <v>5.7142857142857144</v>
      </c>
      <c r="K187" s="66"/>
    </row>
    <row r="188" spans="2:11" x14ac:dyDescent="0.25">
      <c r="B188" s="217">
        <f>CritMsmax</f>
        <v>6</v>
      </c>
      <c r="C188" s="237">
        <v>0</v>
      </c>
      <c r="D188" s="219">
        <v>1</v>
      </c>
      <c r="E188" s="240">
        <f t="shared" ref="E188:E193" si="4">CritMsCnmax/D188</f>
        <v>100</v>
      </c>
      <c r="K188" s="66"/>
    </row>
    <row r="189" spans="2:11" x14ac:dyDescent="0.25">
      <c r="B189" s="221">
        <f>CritMsmax</f>
        <v>6</v>
      </c>
      <c r="C189" s="230">
        <v>55</v>
      </c>
      <c r="D189" s="219">
        <v>2</v>
      </c>
      <c r="E189" s="240">
        <f t="shared" si="4"/>
        <v>50</v>
      </c>
      <c r="K189" s="66"/>
    </row>
    <row r="190" spans="2:11" x14ac:dyDescent="0.25">
      <c r="B190" s="225">
        <f ca="1">MS_min</f>
        <v>3.6252549754626102</v>
      </c>
      <c r="C190" s="238">
        <f>Cn</f>
        <v>19.135014339693754</v>
      </c>
      <c r="D190" s="219">
        <v>3</v>
      </c>
      <c r="E190" s="240">
        <f t="shared" si="4"/>
        <v>33.333333333333336</v>
      </c>
      <c r="K190" s="66"/>
    </row>
    <row r="191" spans="2:11" x14ac:dyDescent="0.25">
      <c r="B191" s="601">
        <f ca="1">(XCp0-XcgPlein)/D_ref</f>
        <v>3.6252549754626102</v>
      </c>
      <c r="C191" s="602">
        <f>Cn0</f>
        <v>19.135014339693754</v>
      </c>
      <c r="D191" s="219">
        <v>4</v>
      </c>
      <c r="E191" s="240">
        <f t="shared" si="4"/>
        <v>25</v>
      </c>
      <c r="K191" s="66"/>
    </row>
    <row r="192" spans="2:11" x14ac:dyDescent="0.25">
      <c r="B192" s="601">
        <f ca="1">(XCp0-XcgVide)/D_ref</f>
        <v>4.0884248305201298</v>
      </c>
      <c r="C192" s="602">
        <f>Cn0</f>
        <v>19.135014339693754</v>
      </c>
      <c r="D192" s="219">
        <v>6</v>
      </c>
      <c r="E192" s="240">
        <f t="shared" si="4"/>
        <v>16.666666666666668</v>
      </c>
      <c r="K192" s="66"/>
    </row>
    <row r="193" spans="2:11" x14ac:dyDescent="0.25">
      <c r="B193" s="601">
        <f ca="1">(XCp-XcgVide)/D_ref</f>
        <v>4.0884248305201298</v>
      </c>
      <c r="C193" s="602">
        <f>Cn</f>
        <v>19.135014339693754</v>
      </c>
      <c r="D193" s="221">
        <v>7</v>
      </c>
      <c r="E193" s="241">
        <f t="shared" si="4"/>
        <v>14.285714285714286</v>
      </c>
      <c r="K193" s="66"/>
    </row>
    <row r="194" spans="2:11" x14ac:dyDescent="0.25">
      <c r="B194" s="601">
        <f ca="1">MS_min</f>
        <v>3.6252549754626102</v>
      </c>
      <c r="C194" s="603">
        <f>Cn</f>
        <v>19.135014339693754</v>
      </c>
      <c r="D194" s="214"/>
      <c r="E194" s="604"/>
      <c r="K194" s="66"/>
    </row>
    <row r="195" spans="2:11" x14ac:dyDescent="0.25">
      <c r="B195" s="217">
        <v>0</v>
      </c>
      <c r="C195" s="237">
        <f>(CritCnmin+CritCnmax)/2</f>
        <v>27.5</v>
      </c>
      <c r="D195" s="56"/>
      <c r="E195" s="122"/>
      <c r="K195" s="56"/>
    </row>
    <row r="196" spans="2:11" x14ac:dyDescent="0.25">
      <c r="B196" s="219">
        <f>MAX(CritMsmin,CritMsCnmin/C196)</f>
        <v>2</v>
      </c>
      <c r="C196" s="214">
        <f>(CritCnmin+CritCnmax)/2</f>
        <v>27.5</v>
      </c>
      <c r="D196" s="56"/>
      <c r="E196" s="122"/>
      <c r="K196" s="56"/>
    </row>
    <row r="197" spans="2:11" x14ac:dyDescent="0.25">
      <c r="B197" s="219">
        <f>MIN(CritMsmax,CritMsCnmax/C197)</f>
        <v>3.6363636363636362</v>
      </c>
      <c r="C197" s="223">
        <f>(CritCnmin+CritCnmax)/2</f>
        <v>27.5</v>
      </c>
    </row>
    <row r="198" spans="2:11" x14ac:dyDescent="0.25">
      <c r="B198" s="221">
        <v>7</v>
      </c>
      <c r="C198" s="224">
        <f>(CritCnmin+CritCnmax)/2</f>
        <v>27.5</v>
      </c>
    </row>
    <row r="199" spans="2:11" x14ac:dyDescent="0.25">
      <c r="B199" s="217">
        <f>(CritMsmin+CritMsmax)/2</f>
        <v>4</v>
      </c>
      <c r="C199" s="218">
        <v>0</v>
      </c>
    </row>
    <row r="200" spans="2:11" x14ac:dyDescent="0.25">
      <c r="B200" s="219">
        <f>(CritMsmin+CritMsmax)/2</f>
        <v>4</v>
      </c>
      <c r="C200" s="220">
        <f>MAX(CritCnmin,CritMsCnmin/B200)</f>
        <v>15</v>
      </c>
    </row>
    <row r="201" spans="2:11" x14ac:dyDescent="0.25">
      <c r="B201" s="219">
        <f>(CritMsmin+CritMsmax)/2</f>
        <v>4</v>
      </c>
      <c r="C201" s="220">
        <f>MIN(CritCnmax,CritMsCnmax/B201)</f>
        <v>25</v>
      </c>
    </row>
    <row r="202" spans="2:11" x14ac:dyDescent="0.25">
      <c r="B202" s="221">
        <f>(CritMsmin+CritMsmax)/2</f>
        <v>4</v>
      </c>
      <c r="C202" s="222">
        <v>55</v>
      </c>
    </row>
    <row r="203" spans="2:11" x14ac:dyDescent="0.25">
      <c r="D203" s="560"/>
    </row>
    <row r="204" spans="2:11" x14ac:dyDescent="0.25">
      <c r="B204" s="562" t="s">
        <v>407</v>
      </c>
      <c r="C204" s="52" t="b">
        <f ca="1">(OR(C205:C210))</f>
        <v>1</v>
      </c>
      <c r="D204" s="560"/>
    </row>
    <row r="205" spans="2:11" x14ac:dyDescent="0.25">
      <c r="B205" s="561" t="s">
        <v>404</v>
      </c>
      <c r="C205" s="560" t="b">
        <f ca="1">AND(Type_propu="H2O",RIGHT(Type_fusee,1)=" ")</f>
        <v>0</v>
      </c>
      <c r="D205" s="560"/>
    </row>
    <row r="206" spans="2:11" x14ac:dyDescent="0.25">
      <c r="B206" s="561" t="s">
        <v>119</v>
      </c>
      <c r="C206" s="560" t="b">
        <f ca="1">AND(Type_propu="Fusex",RIGHT(Type_fusee,1)=".")</f>
        <v>1</v>
      </c>
      <c r="D206" s="560"/>
    </row>
    <row r="207" spans="2:11" x14ac:dyDescent="0.25">
      <c r="B207" s="561" t="s">
        <v>405</v>
      </c>
      <c r="C207" s="560" t="b">
        <f ca="1">LEFT(Type_propu,5)=LEFT(Type_fusee,5)</f>
        <v>0</v>
      </c>
      <c r="D207" s="560"/>
    </row>
    <row r="208" spans="2:11" x14ac:dyDescent="0.25">
      <c r="B208" s="561" t="s">
        <v>406</v>
      </c>
      <c r="C208" s="560" t="b">
        <f ca="1">AND(RIGHT(Type_propu,1)="N",LEFT(Type_fusee,4)="Mini")</f>
        <v>0</v>
      </c>
      <c r="D208" s="560"/>
    </row>
    <row r="209" spans="1:3" x14ac:dyDescent="0.25">
      <c r="B209" s="561" t="s">
        <v>408</v>
      </c>
      <c r="C209" s="560" t="b">
        <f ca="1">AND(LEFT(Type_propu,5)="MiniR",LEFT(Type_fusee,1)="R")</f>
        <v>0</v>
      </c>
    </row>
    <row r="210" spans="1:3" x14ac:dyDescent="0.25">
      <c r="B210" s="561" t="s">
        <v>398</v>
      </c>
      <c r="C210" s="560" t="b">
        <f ca="1">AND(LEFT(Type_propu,4)="Mini",LEFT(Type_fusee,1)=",")</f>
        <v>0</v>
      </c>
    </row>
    <row r="223" spans="1:3" x14ac:dyDescent="0.25">
      <c r="A223" s="35" t="s">
        <v>465</v>
      </c>
    </row>
    <row r="226" spans="1:1" x14ac:dyDescent="0.25">
      <c r="A226" s="35" t="s">
        <v>478</v>
      </c>
    </row>
    <row r="228" spans="1:1" x14ac:dyDescent="0.25">
      <c r="A228" s="35" t="s">
        <v>479</v>
      </c>
    </row>
    <row r="230" spans="1:1" x14ac:dyDescent="0.25">
      <c r="A230" s="35" t="s">
        <v>480</v>
      </c>
    </row>
    <row r="232" spans="1:1" x14ac:dyDescent="0.25">
      <c r="A232" s="35" t="s">
        <v>481</v>
      </c>
    </row>
    <row r="233" spans="1:1" x14ac:dyDescent="0.25">
      <c r="A233" s="35" t="s">
        <v>482</v>
      </c>
    </row>
    <row r="234" spans="1:1" x14ac:dyDescent="0.25">
      <c r="A234" s="35" t="s">
        <v>483</v>
      </c>
    </row>
    <row r="235" spans="1:1" x14ac:dyDescent="0.25">
      <c r="A235" s="35" t="s">
        <v>484</v>
      </c>
    </row>
    <row r="236" spans="1:1" x14ac:dyDescent="0.25">
      <c r="A236" s="35" t="s">
        <v>485</v>
      </c>
    </row>
    <row r="237" spans="1:1" x14ac:dyDescent="0.25">
      <c r="A237" s="35" t="s">
        <v>486</v>
      </c>
    </row>
    <row r="238" spans="1:1" x14ac:dyDescent="0.25">
      <c r="A238" s="35" t="s">
        <v>184</v>
      </c>
    </row>
    <row r="239" spans="1:1" x14ac:dyDescent="0.25">
      <c r="A239" s="35" t="s">
        <v>487</v>
      </c>
    </row>
    <row r="240" spans="1:1" x14ac:dyDescent="0.25">
      <c r="A240" s="35" t="s">
        <v>488</v>
      </c>
    </row>
    <row r="241" spans="1:1" x14ac:dyDescent="0.25">
      <c r="A241" s="35" t="s">
        <v>184</v>
      </c>
    </row>
    <row r="242" spans="1:1" x14ac:dyDescent="0.25">
      <c r="A242" s="35" t="s">
        <v>489</v>
      </c>
    </row>
    <row r="244" spans="1:1" x14ac:dyDescent="0.25">
      <c r="A244" s="35" t="s">
        <v>490</v>
      </c>
    </row>
    <row r="246" spans="1:1" x14ac:dyDescent="0.25">
      <c r="A246" s="35" t="s">
        <v>491</v>
      </c>
    </row>
    <row r="248" spans="1:1" x14ac:dyDescent="0.25">
      <c r="A248" s="35" t="s">
        <v>492</v>
      </c>
    </row>
    <row r="249" spans="1:1" x14ac:dyDescent="0.25">
      <c r="A249" s="35" t="s">
        <v>493</v>
      </c>
    </row>
    <row r="250" spans="1:1" x14ac:dyDescent="0.25">
      <c r="A250" s="35" t="s">
        <v>494</v>
      </c>
    </row>
    <row r="251" spans="1:1" x14ac:dyDescent="0.25">
      <c r="A251" s="35" t="s">
        <v>495</v>
      </c>
    </row>
    <row r="252" spans="1:1" x14ac:dyDescent="0.25">
      <c r="A252" s="35" t="s">
        <v>496</v>
      </c>
    </row>
    <row r="254" spans="1:1" x14ac:dyDescent="0.25">
      <c r="A254" s="35" t="s">
        <v>497</v>
      </c>
    </row>
    <row r="255" spans="1:1" x14ac:dyDescent="0.25">
      <c r="A255" s="35" t="s">
        <v>498</v>
      </c>
    </row>
    <row r="256" spans="1:1" x14ac:dyDescent="0.25">
      <c r="A256" s="35" t="s">
        <v>499</v>
      </c>
    </row>
    <row r="257" spans="1:1" x14ac:dyDescent="0.25">
      <c r="A257" s="35" t="s">
        <v>500</v>
      </c>
    </row>
    <row r="258" spans="1:1" x14ac:dyDescent="0.25">
      <c r="A258" s="35" t="s">
        <v>501</v>
      </c>
    </row>
    <row r="261" spans="1:1" x14ac:dyDescent="0.25">
      <c r="A261" s="35" t="s">
        <v>502</v>
      </c>
    </row>
    <row r="262" spans="1:1" x14ac:dyDescent="0.25">
      <c r="A262" s="35" t="s">
        <v>503</v>
      </c>
    </row>
    <row r="263" spans="1:1" x14ac:dyDescent="0.25">
      <c r="A263" s="35" t="s">
        <v>504</v>
      </c>
    </row>
    <row r="264" spans="1:1" x14ac:dyDescent="0.25">
      <c r="A264" s="35" t="s">
        <v>505</v>
      </c>
    </row>
    <row r="265" spans="1:1" x14ac:dyDescent="0.25">
      <c r="A265" s="35" t="s">
        <v>506</v>
      </c>
    </row>
    <row r="267" spans="1:1" x14ac:dyDescent="0.25">
      <c r="A267" s="35" t="s">
        <v>499</v>
      </c>
    </row>
    <row r="268" spans="1:1" x14ac:dyDescent="0.25">
      <c r="A268" s="35" t="s">
        <v>500</v>
      </c>
    </row>
    <row r="269" spans="1:1" x14ac:dyDescent="0.25">
      <c r="A269" s="35" t="s">
        <v>507</v>
      </c>
    </row>
    <row r="272" spans="1:1" x14ac:dyDescent="0.25">
      <c r="A272" s="35" t="s">
        <v>467</v>
      </c>
    </row>
    <row r="273" spans="1:1" x14ac:dyDescent="0.25">
      <c r="A273" s="35" t="s">
        <v>468</v>
      </c>
    </row>
    <row r="275" spans="1:1" x14ac:dyDescent="0.25">
      <c r="A275" s="35" t="s">
        <v>508</v>
      </c>
    </row>
    <row r="277" spans="1:1" x14ac:dyDescent="0.25">
      <c r="A277" s="35" t="s">
        <v>507</v>
      </c>
    </row>
    <row r="280" spans="1:1" x14ac:dyDescent="0.25">
      <c r="A280" s="35" t="s">
        <v>469</v>
      </c>
    </row>
    <row r="281" spans="1:1" x14ac:dyDescent="0.25">
      <c r="A281" s="35" t="s">
        <v>470</v>
      </c>
    </row>
    <row r="282" spans="1:1" x14ac:dyDescent="0.25">
      <c r="A282" s="35" t="s">
        <v>509</v>
      </c>
    </row>
    <row r="283" spans="1:1" x14ac:dyDescent="0.25">
      <c r="A283" s="35" t="s">
        <v>510</v>
      </c>
    </row>
    <row r="284" spans="1:1" x14ac:dyDescent="0.25">
      <c r="A284" s="35" t="s">
        <v>507</v>
      </c>
    </row>
    <row r="285" spans="1:1" x14ac:dyDescent="0.25">
      <c r="A285" s="35" t="s">
        <v>471</v>
      </c>
    </row>
    <row r="287" spans="1:1" x14ac:dyDescent="0.25">
      <c r="A287" s="35" t="s">
        <v>511</v>
      </c>
    </row>
    <row r="288" spans="1:1" x14ac:dyDescent="0.25">
      <c r="A288" s="35" t="s">
        <v>509</v>
      </c>
    </row>
    <row r="289" spans="1:1" x14ac:dyDescent="0.25">
      <c r="A289" s="35" t="s">
        <v>512</v>
      </c>
    </row>
    <row r="291" spans="1:1" x14ac:dyDescent="0.25">
      <c r="A291" s="35" t="s">
        <v>507</v>
      </c>
    </row>
    <row r="294" spans="1:1" x14ac:dyDescent="0.25">
      <c r="A294" s="35" t="s">
        <v>513</v>
      </c>
    </row>
    <row r="295" spans="1:1" x14ac:dyDescent="0.25">
      <c r="A295" s="35" t="s">
        <v>514</v>
      </c>
    </row>
    <row r="296" spans="1:1" x14ac:dyDescent="0.25">
      <c r="A296" s="35" t="s">
        <v>515</v>
      </c>
    </row>
    <row r="298" spans="1:1" x14ac:dyDescent="0.25">
      <c r="A298" s="35" t="s">
        <v>507</v>
      </c>
    </row>
    <row r="301" spans="1:1" x14ac:dyDescent="0.25">
      <c r="A301" s="35" t="s">
        <v>516</v>
      </c>
    </row>
    <row r="302" spans="1:1" x14ac:dyDescent="0.25">
      <c r="A302" s="35" t="s">
        <v>517</v>
      </c>
    </row>
    <row r="304" spans="1:1" x14ac:dyDescent="0.25">
      <c r="A304" s="35" t="s">
        <v>518</v>
      </c>
    </row>
    <row r="305" spans="1:1" x14ac:dyDescent="0.25">
      <c r="A305" s="35" t="s">
        <v>519</v>
      </c>
    </row>
    <row r="306" spans="1:1" x14ac:dyDescent="0.25">
      <c r="A306" s="35" t="s">
        <v>507</v>
      </c>
    </row>
    <row r="309" spans="1:1" x14ac:dyDescent="0.25">
      <c r="A309" s="35" t="s">
        <v>516</v>
      </c>
    </row>
    <row r="310" spans="1:1" x14ac:dyDescent="0.25">
      <c r="A310" s="35" t="s">
        <v>520</v>
      </c>
    </row>
    <row r="311" spans="1:1" x14ac:dyDescent="0.25">
      <c r="A311" s="35" t="s">
        <v>516</v>
      </c>
    </row>
    <row r="312" spans="1:1" x14ac:dyDescent="0.25">
      <c r="A312" s="35" t="s">
        <v>521</v>
      </c>
    </row>
    <row r="314" spans="1:1" x14ac:dyDescent="0.25">
      <c r="A314" s="35" t="s">
        <v>522</v>
      </c>
    </row>
    <row r="316" spans="1:1" x14ac:dyDescent="0.25">
      <c r="A316" s="35" t="s">
        <v>507</v>
      </c>
    </row>
    <row r="319" spans="1:1" x14ac:dyDescent="0.25">
      <c r="A319" s="35" t="s">
        <v>516</v>
      </c>
    </row>
    <row r="320" spans="1:1" x14ac:dyDescent="0.25">
      <c r="A320" s="35" t="s">
        <v>523</v>
      </c>
    </row>
    <row r="321" spans="1:1" x14ac:dyDescent="0.25">
      <c r="A321" s="35" t="s">
        <v>524</v>
      </c>
    </row>
    <row r="322" spans="1:1" x14ac:dyDescent="0.25">
      <c r="A322" s="35" t="s">
        <v>525</v>
      </c>
    </row>
    <row r="324" spans="1:1" x14ac:dyDescent="0.25">
      <c r="A324" s="35" t="s">
        <v>507</v>
      </c>
    </row>
    <row r="326" spans="1:1" x14ac:dyDescent="0.25">
      <c r="A326" s="35" t="s">
        <v>466</v>
      </c>
    </row>
    <row r="329" spans="1:1" x14ac:dyDescent="0.25">
      <c r="A329" s="35" t="s">
        <v>472</v>
      </c>
    </row>
    <row r="330" spans="1:1" x14ac:dyDescent="0.25">
      <c r="A330" s="35" t="s">
        <v>473</v>
      </c>
    </row>
    <row r="331" spans="1:1" x14ac:dyDescent="0.25">
      <c r="A331" s="35" t="s">
        <v>526</v>
      </c>
    </row>
    <row r="332" spans="1:1" x14ac:dyDescent="0.25">
      <c r="A332" s="35" t="s">
        <v>527</v>
      </c>
    </row>
    <row r="333" spans="1:1" x14ac:dyDescent="0.25">
      <c r="A333" s="35" t="s">
        <v>528</v>
      </c>
    </row>
    <row r="334" spans="1:1" x14ac:dyDescent="0.25">
      <c r="A334" s="35" t="s">
        <v>529</v>
      </c>
    </row>
    <row r="335" spans="1:1" x14ac:dyDescent="0.25">
      <c r="A335" s="35" t="s">
        <v>530</v>
      </c>
    </row>
    <row r="336" spans="1:1" x14ac:dyDescent="0.25">
      <c r="A336" s="35" t="s">
        <v>483</v>
      </c>
    </row>
    <row r="337" spans="1:1" x14ac:dyDescent="0.25">
      <c r="A337" s="35" t="s">
        <v>474</v>
      </c>
    </row>
    <row r="340" spans="1:1" x14ac:dyDescent="0.25">
      <c r="A340" s="35" t="s">
        <v>475</v>
      </c>
    </row>
    <row r="342" spans="1:1" x14ac:dyDescent="0.25">
      <c r="A342" s="35" t="s">
        <v>531</v>
      </c>
    </row>
    <row r="343" spans="1:1" x14ac:dyDescent="0.25">
      <c r="A343" s="35" t="s">
        <v>532</v>
      </c>
    </row>
    <row r="344" spans="1:1" x14ac:dyDescent="0.25">
      <c r="A344" s="35" t="s">
        <v>533</v>
      </c>
    </row>
    <row r="345" spans="1:1" x14ac:dyDescent="0.25">
      <c r="A345" s="35" t="s">
        <v>534</v>
      </c>
    </row>
    <row r="346" spans="1:1" x14ac:dyDescent="0.25">
      <c r="A346" s="35" t="s">
        <v>535</v>
      </c>
    </row>
    <row r="347" spans="1:1" x14ac:dyDescent="0.25">
      <c r="A347" s="35" t="s">
        <v>483</v>
      </c>
    </row>
    <row r="348" spans="1:1" x14ac:dyDescent="0.25">
      <c r="A348" s="35" t="s">
        <v>476</v>
      </c>
    </row>
    <row r="349" spans="1:1" x14ac:dyDescent="0.25">
      <c r="A349" s="35" t="s">
        <v>536</v>
      </c>
    </row>
    <row r="350" spans="1:1" x14ac:dyDescent="0.25">
      <c r="A350" s="35" t="s">
        <v>537</v>
      </c>
    </row>
    <row r="352" spans="1:1" x14ac:dyDescent="0.25">
      <c r="A352" s="35" t="s">
        <v>507</v>
      </c>
    </row>
    <row r="355" spans="1:1" x14ac:dyDescent="0.25">
      <c r="A355" s="35" t="s">
        <v>466</v>
      </c>
    </row>
    <row r="361" spans="1:1" x14ac:dyDescent="0.25">
      <c r="A361" s="35" t="s">
        <v>477</v>
      </c>
    </row>
  </sheetData>
  <sheetProtection password="C6AC" sheet="1"/>
  <dataConsolidate/>
  <mergeCells count="56">
    <mergeCell ref="C5:D5"/>
    <mergeCell ref="H26:I26"/>
    <mergeCell ref="C16:D16"/>
    <mergeCell ref="C17:D17"/>
    <mergeCell ref="O21:P21"/>
    <mergeCell ref="M21:N21"/>
    <mergeCell ref="O19:P19"/>
    <mergeCell ref="O22:P22"/>
    <mergeCell ref="C20:D20"/>
    <mergeCell ref="C6:D6"/>
    <mergeCell ref="C13:D13"/>
    <mergeCell ref="C8:D8"/>
    <mergeCell ref="C9:D9"/>
    <mergeCell ref="O20:P20"/>
    <mergeCell ref="M23:N23"/>
    <mergeCell ref="M24:N24"/>
    <mergeCell ref="C2:D3"/>
    <mergeCell ref="C4:D4"/>
    <mergeCell ref="M22:N22"/>
    <mergeCell ref="M19:N19"/>
    <mergeCell ref="M9:N9"/>
    <mergeCell ref="M7:N7"/>
    <mergeCell ref="M8:N8"/>
    <mergeCell ref="C7:D7"/>
    <mergeCell ref="C10:D10"/>
    <mergeCell ref="M5:N5"/>
    <mergeCell ref="M6:N6"/>
    <mergeCell ref="M20:N20"/>
    <mergeCell ref="N14:O14"/>
    <mergeCell ref="N15:O15"/>
    <mergeCell ref="M17:N17"/>
    <mergeCell ref="C14:D14"/>
    <mergeCell ref="C26:D26"/>
    <mergeCell ref="C18:D18"/>
    <mergeCell ref="C19:D19"/>
    <mergeCell ref="O23:P23"/>
    <mergeCell ref="O24:P24"/>
    <mergeCell ref="C22:D22"/>
    <mergeCell ref="C21:D21"/>
    <mergeCell ref="C23:D23"/>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4:D14 B34:C34">
    <cfRule type="expression" dxfId="53" priority="36" stopIfTrue="1">
      <formula>AND(IF(RIGHT(Nb_diam,1)=",",1),IF(LEFT(Type_masquage,1)="M",1))</formula>
    </cfRule>
  </conditionalFormatting>
  <conditionalFormatting sqref="D25:E25 D27:E34 B35:E35 L20:P22">
    <cfRule type="expression" dxfId="52" priority="83" stopIfTrue="1">
      <formula>IF(LEFT(Type_masquage,1)="M",1)</formula>
    </cfRule>
  </conditionalFormatting>
  <conditionalFormatting sqref="H33:I34">
    <cfRule type="expression" dxfId="51" priority="50" stopIfTrue="1">
      <formula>$H$33="STABLE"</formula>
    </cfRule>
  </conditionalFormatting>
  <conditionalFormatting sqref="H27:I27">
    <cfRule type="expression" dxfId="50" priority="47" stopIfTrue="1">
      <formula>OR(Finesse&lt;CritFinessemin,Finesse&gt;CritFinessemax)</formula>
    </cfRule>
  </conditionalFormatting>
  <conditionalFormatting sqref="H28">
    <cfRule type="expression" dxfId="49" priority="46" stopIfTrue="1">
      <formula>OR(Cn&lt;CritCnmin,Cn&gt;CritCnmax)</formula>
    </cfRule>
  </conditionalFormatting>
  <conditionalFormatting sqref="H29">
    <cfRule type="expression" dxfId="48" priority="45" stopIfTrue="1">
      <formula>OR(MS_min&lt;CritMsmin,MS_min&gt;CritMsmax)</formula>
    </cfRule>
  </conditionalFormatting>
  <conditionalFormatting sqref="I29">
    <cfRule type="expression" dxfId="47" priority="44" stopIfTrue="1">
      <formula>OR(MS_max&lt;CritMsmin,MS_max&gt;CritMsmax)</formula>
    </cfRule>
  </conditionalFormatting>
  <conditionalFormatting sqref="H30">
    <cfRule type="expression" dxfId="46" priority="43" stopIfTrue="1">
      <formula>OR(MS_Cn_min&lt;CritMsCnmin,MS_Cn_min&gt;CritMsCnmax)</formula>
    </cfRule>
  </conditionalFormatting>
  <conditionalFormatting sqref="I30">
    <cfRule type="expression" dxfId="45" priority="42" stopIfTrue="1">
      <formula>OR(MS_Cn_max&lt;CritMsCnmin,MS_Cn_max&gt;CritMsCnmax)</formula>
    </cfRule>
  </conditionalFormatting>
  <conditionalFormatting sqref="L23:P24">
    <cfRule type="expression" dxfId="44" priority="64" stopIfTrue="1">
      <formula>IF(RIGHT(Nb_diam,1)=",",1)</formula>
    </cfRule>
  </conditionalFormatting>
  <conditionalFormatting sqref="L6:P9">
    <cfRule type="expression" dxfId="43" priority="48" stopIfTrue="1">
      <formula>IF(RIGHT(Nb_diam,1)=",",1)</formula>
    </cfRule>
  </conditionalFormatting>
  <conditionalFormatting sqref="M5:P5">
    <cfRule type="expression" dxfId="42" priority="38" stopIfTrue="1">
      <formula>IF(RIGHT(Nb_diam,1)=",",1)</formula>
    </cfRule>
  </conditionalFormatting>
  <conditionalFormatting sqref="C11">
    <cfRule type="cellIs" dxfId="41" priority="24" stopIfTrue="1" operator="equal">
      <formula>359</formula>
    </cfRule>
    <cfRule type="expression" dxfId="40" priority="27" stopIfTrue="1">
      <formula>OR(MasseSans&lt;MpropuVide, MasseSans&gt;20*MpropuPlein)</formula>
    </cfRule>
  </conditionalFormatting>
  <conditionalFormatting sqref="N36">
    <cfRule type="expression" dxfId="39" priority="26" stopIfTrue="1">
      <formula>ROUND(SUM(C2:P25)+SUM(C27:P35),0)=8637</formula>
    </cfRule>
  </conditionalFormatting>
  <conditionalFormatting sqref="O36 M36">
    <cfRule type="expression" dxfId="38" priority="141" stopIfTrue="1">
      <formula>$M$36="propu NOK"</formula>
    </cfRule>
  </conditionalFormatting>
  <conditionalFormatting sqref="C12">
    <cfRule type="cellIs" dxfId="37" priority="23" stopIfTrue="1" operator="equal">
      <formula>639</formula>
    </cfRule>
  </conditionalFormatting>
  <conditionalFormatting sqref="C13:D13 C18 C33">
    <cfRule type="cellIs" dxfId="36" priority="22" stopIfTrue="1" operator="equal">
      <formula>1001</formula>
    </cfRule>
  </conditionalFormatting>
  <conditionalFormatting sqref="C22:D22">
    <cfRule type="cellIs" dxfId="35" priority="21" stopIfTrue="1" operator="equal">
      <formula>199</formula>
    </cfRule>
  </conditionalFormatting>
  <conditionalFormatting sqref="C23:D23 C14 C34">
    <cfRule type="cellIs" dxfId="34" priority="20" stopIfTrue="1" operator="equal">
      <formula>59</formula>
    </cfRule>
  </conditionalFormatting>
  <conditionalFormatting sqref="C30">
    <cfRule type="cellIs" dxfId="33" priority="19" stopIfTrue="1" operator="equal">
      <formula>99</formula>
    </cfRule>
  </conditionalFormatting>
  <conditionalFormatting sqref="C28">
    <cfRule type="cellIs" dxfId="32" priority="18" stopIfTrue="1" operator="equal">
      <formula>59</formula>
    </cfRule>
  </conditionalFormatting>
  <conditionalFormatting sqref="C29 C27">
    <cfRule type="cellIs" dxfId="31" priority="17" stopIfTrue="1" operator="equal">
      <formula>109</formula>
    </cfRule>
  </conditionalFormatting>
  <conditionalFormatting sqref="D17">
    <cfRule type="expression" dxfId="30" priority="10" stopIfTrue="1">
      <formula>D202</formula>
    </cfRule>
  </conditionalFormatting>
  <conditionalFormatting sqref="C17">
    <cfRule type="expression" dxfId="29" priority="150" stopIfTrue="1">
      <formula>C204</formula>
    </cfRule>
  </conditionalFormatting>
  <conditionalFormatting sqref="L38:M38">
    <cfRule type="expression" dxfId="28" priority="232" stopIfTrue="1">
      <formula>OR(SUM($C$27:$C$32)=273, $H$33&lt;&gt;"STABLE")</formula>
    </cfRule>
  </conditionalFormatting>
  <conditionalFormatting sqref="I28">
    <cfRule type="expression" dxfId="27" priority="5" stopIfTrue="1">
      <formula>OR(Cn0&lt;CritCnmin,Cn0&gt;CritCnmax)</formula>
    </cfRule>
  </conditionalFormatting>
  <dataValidations count="13">
    <dataValidation type="whole" allowBlank="1" showInputMessage="1" showErrorMessage="1" error="Tapez un entier entre 3 et 6." sqref="C32:D32" xr:uid="{00000000-0002-0000-0000-000000000000}">
      <formula1>3</formula1>
      <formula2>6</formula2>
    </dataValidation>
    <dataValidation type="decimal" operator="notEqual" allowBlank="1" showInputMessage="1" showErrorMessage="1" error="Tapez uniquement la longueur, sans l'unité." sqref="C29:D29" xr:uid="{00000000-0002-0000-0000-000001000000}">
      <formula1>1E+100</formula1>
    </dataValidation>
    <dataValidation type="decimal" operator="greaterThanOrEqual" allowBlank="1" showInputMessage="1" showErrorMessage="1" error="Tapez uniquement la longueur, sans l'unité." sqref="C27:D28 C33:D34 C30:D31 M6:O9" xr:uid="{00000000-0002-0000-0000-000002000000}">
      <formula1>0</formula1>
    </dataValidation>
    <dataValidation type="list" showInputMessage="1" showErrorMessage="1" sqref="C26:D26" xr:uid="{00000000-0002-0000-0000-000003000000}">
      <formula1>Menu_Empennage</formula1>
    </dataValidation>
    <dataValidation type="list" showInputMessage="1" showErrorMessage="1" sqref="C17:D17"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1" xr:uid="{00000000-0002-0000-0000-000006000000}">
      <formula1>0</formula1>
      <formula2>50000</formula2>
    </dataValidation>
    <dataValidation type="decimal" operator="greaterThan" showInputMessage="1" showErrorMessage="1" error="Tapez uniquement la longueur, sans l'unité." sqref="C12 C13:D13 C22:D23" xr:uid="{00000000-0002-0000-0000-000007000000}">
      <formula1>0</formula1>
    </dataValidation>
    <dataValidation type="list" showInputMessage="1" showErrorMessage="1" sqref="D11:D12" xr:uid="{00000000-0002-0000-0000-000008000000}">
      <formula1>Menu_with_motor</formula1>
    </dataValidation>
    <dataValidation type="list" showInputMessage="1" showErrorMessage="1" sqref="C10:D10" xr:uid="{00000000-0002-0000-0000-000009000000}">
      <formula1>Menu_Type</formula1>
    </dataValidation>
    <dataValidation type="decimal" operator="greaterThan" allowBlank="1" showInputMessage="1" showErrorMessage="1" error="Tapez uniquement la longueur, sans l'unité." sqref="C18" xr:uid="{00000000-0002-0000-0000-00000A000000}">
      <formula1>0</formula1>
    </dataValidation>
    <dataValidation type="list" showInputMessage="1" showErrorMessage="1" sqref="C21:D21" xr:uid="{00000000-0002-0000-0000-00000B000000}">
      <formula1>Menu_Ogive</formula1>
    </dataValidation>
    <dataValidation type="list" showInputMessage="1" showErrorMessage="1" sqref="M4" xr:uid="{00000000-0002-0000-0000-00000C000000}">
      <formula1>Menu_Transitions</formula1>
    </dataValidation>
  </dataValidations>
  <hyperlinks>
    <hyperlink ref="M38"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C34:D34"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891540</xdr:colOff>
                    <xdr:row>21</xdr:row>
                    <xdr:rowOff>15240</xdr:rowOff>
                  </from>
                  <to>
                    <xdr:col>4</xdr:col>
                    <xdr:colOff>0</xdr:colOff>
                    <xdr:row>22</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891540</xdr:colOff>
                    <xdr:row>10</xdr:row>
                    <xdr:rowOff>15240</xdr:rowOff>
                  </from>
                  <to>
                    <xdr:col>3</xdr:col>
                    <xdr:colOff>0</xdr:colOff>
                    <xdr:row>11</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891540</xdr:colOff>
                    <xdr:row>11</xdr:row>
                    <xdr:rowOff>15240</xdr:rowOff>
                  </from>
                  <to>
                    <xdr:col>3</xdr:col>
                    <xdr:colOff>0</xdr:colOff>
                    <xdr:row>12</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891540</xdr:colOff>
                    <xdr:row>22</xdr:row>
                    <xdr:rowOff>15240</xdr:rowOff>
                  </from>
                  <to>
                    <xdr:col>4</xdr:col>
                    <xdr:colOff>0</xdr:colOff>
                    <xdr:row>23</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891540</xdr:colOff>
                    <xdr:row>26</xdr:row>
                    <xdr:rowOff>15240</xdr:rowOff>
                  </from>
                  <to>
                    <xdr:col>3</xdr:col>
                    <xdr:colOff>0</xdr:colOff>
                    <xdr:row>27</xdr:row>
                    <xdr:rowOff>0</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891540</xdr:colOff>
                    <xdr:row>27</xdr:row>
                    <xdr:rowOff>15240</xdr:rowOff>
                  </from>
                  <to>
                    <xdr:col>3</xdr:col>
                    <xdr:colOff>0</xdr:colOff>
                    <xdr:row>28</xdr:row>
                    <xdr:rowOff>0</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891540</xdr:colOff>
                    <xdr:row>28</xdr:row>
                    <xdr:rowOff>15240</xdr:rowOff>
                  </from>
                  <to>
                    <xdr:col>3</xdr:col>
                    <xdr:colOff>0</xdr:colOff>
                    <xdr:row>29</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891540</xdr:colOff>
                    <xdr:row>29</xdr:row>
                    <xdr:rowOff>15240</xdr:rowOff>
                  </from>
                  <to>
                    <xdr:col>3</xdr:col>
                    <xdr:colOff>0</xdr:colOff>
                    <xdr:row>30</xdr:row>
                    <xdr:rowOff>0</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891540</xdr:colOff>
                    <xdr:row>30</xdr:row>
                    <xdr:rowOff>15240</xdr:rowOff>
                  </from>
                  <to>
                    <xdr:col>3</xdr:col>
                    <xdr:colOff>0</xdr:colOff>
                    <xdr:row>31</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891540</xdr:colOff>
                    <xdr:row>31</xdr:row>
                    <xdr:rowOff>15240</xdr:rowOff>
                  </from>
                  <to>
                    <xdr:col>3</xdr:col>
                    <xdr:colOff>0</xdr:colOff>
                    <xdr:row>32</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891540</xdr:colOff>
                    <xdr:row>12</xdr:row>
                    <xdr:rowOff>15240</xdr:rowOff>
                  </from>
                  <to>
                    <xdr:col>4</xdr:col>
                    <xdr:colOff>0</xdr:colOff>
                    <xdr:row>13</xdr:row>
                    <xdr:rowOff>0</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15240</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199"/>
  <sheetViews>
    <sheetView showGridLines="0" tabSelected="1" topLeftCell="B1" zoomScaleNormal="100" workbookViewId="0">
      <selection activeCell="F30" sqref="F30"/>
    </sheetView>
  </sheetViews>
  <sheetFormatPr baseColWidth="10" defaultColWidth="11.33203125" defaultRowHeight="13.2" x14ac:dyDescent="0.25"/>
  <cols>
    <col min="1" max="1" width="2.21875" style="1" customWidth="1"/>
    <col min="2" max="2" width="16.21875" style="1" customWidth="1"/>
    <col min="3" max="4" width="11.33203125" style="1"/>
    <col min="5" max="5" width="2.77734375" style="1" customWidth="1"/>
    <col min="6" max="7" width="12.77734375" style="1" customWidth="1"/>
    <col min="8" max="13" width="10.77734375" style="1" customWidth="1"/>
    <col min="14" max="15" width="2.21875" style="1" customWidth="1"/>
    <col min="16" max="17" width="14.21875" style="1" customWidth="1"/>
    <col min="18" max="16384" width="11.33203125" style="1"/>
  </cols>
  <sheetData>
    <row r="1" spans="1:14" x14ac:dyDescent="0.25">
      <c r="A1" s="72"/>
      <c r="B1" s="73"/>
      <c r="C1" s="74"/>
      <c r="D1" s="73"/>
      <c r="E1" s="75"/>
      <c r="F1" s="75"/>
      <c r="G1" s="75"/>
      <c r="H1" s="75"/>
      <c r="I1" s="75"/>
      <c r="J1" s="75"/>
      <c r="K1" s="75"/>
      <c r="L1" s="75"/>
      <c r="M1" s="75"/>
      <c r="N1" s="76"/>
    </row>
    <row r="2" spans="1:14" ht="12.75" customHeight="1" x14ac:dyDescent="0.25">
      <c r="A2" s="77"/>
      <c r="B2" s="2"/>
      <c r="C2" s="701" t="s">
        <v>0</v>
      </c>
      <c r="D2" s="701"/>
      <c r="E2" s="3"/>
      <c r="F2" s="4"/>
      <c r="G2" s="3"/>
      <c r="H2" s="3"/>
      <c r="I2" s="3"/>
      <c r="J2" s="5"/>
      <c r="K2" s="3"/>
      <c r="L2" s="3"/>
      <c r="M2" s="3"/>
      <c r="N2" s="78"/>
    </row>
    <row r="3" spans="1:14" ht="12.75" customHeight="1" x14ac:dyDescent="0.25">
      <c r="A3" s="77"/>
      <c r="B3" s="2"/>
      <c r="C3" s="701"/>
      <c r="D3" s="701"/>
      <c r="E3" s="6"/>
      <c r="F3" s="6"/>
      <c r="G3" s="6"/>
      <c r="H3" s="7"/>
      <c r="I3" s="6"/>
      <c r="J3" s="5"/>
      <c r="K3" s="3"/>
      <c r="L3" s="3"/>
      <c r="M3" s="3"/>
      <c r="N3" s="78"/>
    </row>
    <row r="4" spans="1:14" ht="12.75" customHeight="1" x14ac:dyDescent="0.25">
      <c r="A4" s="77"/>
      <c r="B4" s="2"/>
      <c r="C4" s="705" t="str">
        <f>IF(Lang="Français","Trajectographie de fusée",IF(Lang="English","Rocket Trajectography",""))</f>
        <v>Trajectographie de fusée</v>
      </c>
      <c r="D4" s="705"/>
      <c r="E4" s="6"/>
      <c r="F4" s="6"/>
      <c r="G4" s="6"/>
      <c r="H4" s="7"/>
      <c r="I4" s="6"/>
      <c r="J4" s="5"/>
      <c r="K4" s="3"/>
      <c r="L4" s="3"/>
      <c r="M4" s="3"/>
      <c r="N4" s="78"/>
    </row>
    <row r="5" spans="1:14" ht="12.75" customHeight="1" x14ac:dyDescent="0.25">
      <c r="A5" s="77"/>
      <c r="B5" s="2"/>
      <c r="C5" s="3"/>
      <c r="D5" s="3"/>
      <c r="E5" s="6"/>
      <c r="F5" s="6"/>
      <c r="G5" s="3"/>
      <c r="H5" s="3"/>
      <c r="I5" s="6"/>
      <c r="J5" s="5"/>
      <c r="K5" s="3"/>
      <c r="L5" s="3"/>
      <c r="M5" s="3"/>
      <c r="N5" s="78"/>
    </row>
    <row r="6" spans="1:14" ht="13.05" customHeight="1" x14ac:dyDescent="0.25">
      <c r="A6" s="77"/>
      <c r="B6" s="111"/>
      <c r="C6" s="704" t="str">
        <f>IF(Lang="Français","Remplir les cases jaunes",IF(Lang="English","Fill-in yellow cells only",""))</f>
        <v>Remplir les cases jaunes</v>
      </c>
      <c r="D6" s="704"/>
      <c r="E6" s="6"/>
      <c r="F6" s="6"/>
      <c r="G6" s="3"/>
      <c r="H6" s="3"/>
      <c r="I6" s="6"/>
      <c r="J6" s="5"/>
      <c r="K6" s="3"/>
      <c r="L6" s="3"/>
      <c r="M6" s="3"/>
      <c r="N6" s="78"/>
    </row>
    <row r="7" spans="1:14" x14ac:dyDescent="0.25">
      <c r="A7" s="77"/>
      <c r="B7" s="8"/>
      <c r="C7" s="702" t="str">
        <f>IF(Lang="Français","Fusée",IF(Lang="English","Rocket",""))</f>
        <v>Fusée</v>
      </c>
      <c r="D7" s="702"/>
      <c r="E7" s="6"/>
      <c r="F7" s="6"/>
      <c r="G7" s="3"/>
      <c r="H7" s="3"/>
      <c r="I7" s="6"/>
      <c r="J7" s="3"/>
      <c r="K7" s="3"/>
      <c r="L7" s="3"/>
      <c r="M7" s="3"/>
      <c r="N7" s="79"/>
    </row>
    <row r="8" spans="1:14" ht="12.75" customHeight="1" x14ac:dyDescent="0.3">
      <c r="A8" s="77"/>
      <c r="B8" s="173" t="str">
        <f>IF(Lang="Français","Nom",IF(Lang="English","Name",""))</f>
        <v>Nom</v>
      </c>
      <c r="C8" s="703" t="str">
        <f>Nom</f>
        <v>Indra</v>
      </c>
      <c r="D8" s="703"/>
      <c r="E8" s="7"/>
      <c r="F8" s="7"/>
      <c r="G8" s="3"/>
      <c r="H8" s="3"/>
      <c r="I8" s="6"/>
      <c r="J8" s="5"/>
      <c r="K8" s="3"/>
      <c r="L8" s="3"/>
      <c r="M8" s="3"/>
      <c r="N8" s="78"/>
    </row>
    <row r="9" spans="1:14" ht="12.75" customHeight="1" x14ac:dyDescent="0.3">
      <c r="A9" s="80"/>
      <c r="B9" s="173" t="s">
        <v>4</v>
      </c>
      <c r="C9" s="703" t="str">
        <f>Club</f>
        <v>Space'Tech Orléans</v>
      </c>
      <c r="D9" s="703"/>
      <c r="E9" s="6"/>
      <c r="F9" s="27"/>
      <c r="G9" s="3"/>
      <c r="H9" s="3"/>
      <c r="I9" s="6"/>
      <c r="J9" s="3"/>
      <c r="K9" s="3"/>
      <c r="L9" s="3"/>
      <c r="M9" s="3"/>
      <c r="N9" s="79"/>
    </row>
    <row r="10" spans="1:14" ht="12.75" customHeight="1" x14ac:dyDescent="0.25">
      <c r="A10" s="80"/>
      <c r="B10" s="173" t="str">
        <f>IF(Lang="Français","Masse totale",IF(Lang="English","Total Mass",""))</f>
        <v>Masse totale</v>
      </c>
      <c r="C10" s="727">
        <f ca="1">MassePlein</f>
        <v>9.6850000000000005</v>
      </c>
      <c r="D10" s="727"/>
      <c r="E10" s="6"/>
      <c r="F10" s="27"/>
      <c r="G10" s="3"/>
      <c r="H10" s="3"/>
      <c r="I10" s="6"/>
      <c r="J10" s="3"/>
      <c r="K10" s="3"/>
      <c r="L10" s="3"/>
      <c r="M10" s="3"/>
      <c r="N10" s="79"/>
    </row>
    <row r="11" spans="1:14" ht="12.75" customHeight="1" x14ac:dyDescent="0.25">
      <c r="A11" s="80"/>
      <c r="B11" s="266" t="str">
        <f>IF(Lang="Français","Propulseur",IF(Lang="English","Motor",""))</f>
        <v>Propulseur</v>
      </c>
      <c r="C11" s="730" t="str">
        <f>Propu</f>
        <v>Barasinga (Pro54-5G C)</v>
      </c>
      <c r="D11" s="731"/>
      <c r="E11" s="6"/>
      <c r="F11" s="27"/>
      <c r="G11" s="3"/>
      <c r="H11" s="3"/>
      <c r="I11" s="6"/>
      <c r="J11" s="3"/>
      <c r="K11" s="3"/>
      <c r="L11" s="3"/>
      <c r="M11" s="3"/>
      <c r="N11" s="79"/>
    </row>
    <row r="12" spans="1:14" ht="12.75" customHeight="1" x14ac:dyDescent="0.25">
      <c r="A12" s="80"/>
      <c r="B12" s="3"/>
      <c r="C12" s="3"/>
      <c r="D12" s="3"/>
      <c r="E12" s="6"/>
      <c r="F12" s="27"/>
      <c r="G12" s="3"/>
      <c r="H12" s="3"/>
      <c r="I12" s="6"/>
      <c r="J12" s="3"/>
      <c r="K12" s="3"/>
      <c r="L12" s="3"/>
      <c r="M12" s="3"/>
      <c r="N12" s="79"/>
    </row>
    <row r="13" spans="1:14" ht="12.75" customHeight="1" x14ac:dyDescent="0.25">
      <c r="A13" s="80"/>
      <c r="B13" s="81"/>
      <c r="C13" s="702" t="str">
        <f>IF(Lang="Français","Traînée Aérdynamique",IF(Lang="English","Drag",""))</f>
        <v>Traînée Aérdynamique</v>
      </c>
      <c r="D13" s="702"/>
      <c r="E13" s="6"/>
      <c r="F13" s="3"/>
      <c r="G13" s="3"/>
      <c r="H13" s="3"/>
      <c r="I13" s="6"/>
      <c r="J13" s="3"/>
      <c r="K13" s="3"/>
      <c r="L13" s="3"/>
      <c r="M13" s="3"/>
      <c r="N13" s="79"/>
    </row>
    <row r="14" spans="1:14" ht="12.75" customHeight="1" x14ac:dyDescent="0.25">
      <c r="A14" s="80"/>
      <c r="B14" s="173" t="s">
        <v>41</v>
      </c>
      <c r="C14" s="732">
        <f>(PI()*D_ref^2/4+E_ail*ep_ail*Q_ail)/10^6</f>
        <v>9.0539816339744832E-3</v>
      </c>
      <c r="D14" s="732"/>
      <c r="E14" s="6"/>
      <c r="F14" s="3"/>
      <c r="G14" s="3"/>
      <c r="H14" s="3"/>
      <c r="I14" s="6"/>
      <c r="J14" s="3"/>
      <c r="K14" s="3"/>
      <c r="L14" s="3"/>
      <c r="M14" s="3"/>
      <c r="N14" s="79"/>
    </row>
    <row r="15" spans="1:14" ht="12.75" customHeight="1" x14ac:dyDescent="0.25">
      <c r="A15" s="80"/>
      <c r="B15" s="174" t="s">
        <v>5</v>
      </c>
      <c r="C15" s="725">
        <v>0.5</v>
      </c>
      <c r="D15" s="726"/>
      <c r="E15" s="6"/>
      <c r="F15" s="3"/>
      <c r="G15" s="3"/>
      <c r="H15" s="3"/>
      <c r="I15" s="6"/>
      <c r="J15" s="3"/>
      <c r="K15" s="3"/>
      <c r="L15" s="3"/>
      <c r="M15" s="3"/>
      <c r="N15" s="79"/>
    </row>
    <row r="16" spans="1:14" ht="12.75" customHeight="1" x14ac:dyDescent="0.25">
      <c r="A16" s="80"/>
      <c r="B16" s="3"/>
      <c r="C16" s="3"/>
      <c r="D16" s="3"/>
      <c r="E16" s="6"/>
      <c r="F16" s="6"/>
      <c r="G16" s="3"/>
      <c r="H16" s="3"/>
      <c r="I16" s="6"/>
      <c r="J16" s="3"/>
      <c r="K16" s="3"/>
      <c r="L16" s="3"/>
      <c r="M16" s="3"/>
      <c r="N16" s="79"/>
    </row>
    <row r="17" spans="1:18" ht="12.75" customHeight="1" x14ac:dyDescent="0.25">
      <c r="A17" s="80"/>
      <c r="B17" s="81"/>
      <c r="C17" s="702" t="str">
        <f>IF(Lang="Français","Rampe de Lancement",IF(Lang="English","Launch Pad",""))</f>
        <v>Rampe de Lancement</v>
      </c>
      <c r="D17" s="702"/>
      <c r="E17" s="6"/>
      <c r="F17" s="3"/>
      <c r="G17" s="3"/>
      <c r="H17" s="3"/>
      <c r="I17" s="6"/>
      <c r="J17" s="3"/>
      <c r="K17" s="3"/>
      <c r="L17" s="3"/>
      <c r="M17" s="3"/>
      <c r="N17" s="79"/>
    </row>
    <row r="18" spans="1:18" ht="12.75" customHeight="1" x14ac:dyDescent="0.25">
      <c r="A18" s="80"/>
      <c r="B18" s="173" t="str">
        <f>IF(Lang="Français","Longueur",IF(Lang="English","Length",""))</f>
        <v>Longueur</v>
      </c>
      <c r="C18" s="729">
        <f>IF(RIGHT(Type_fusee,1)=".",4, IF(LEFT(Type_fusee,4)="Mini",2.5, IF(LEFT(Type_fusee,5)="Micro",1, IF(RIGHT(Type_fusee,1)=" ",0.1,IF(LEFT(Type_fusee,1)="R",3, 2.5)))))</f>
        <v>4</v>
      </c>
      <c r="D18" s="729"/>
      <c r="E18" s="6"/>
      <c r="F18" s="3"/>
      <c r="G18" s="3"/>
      <c r="H18" s="3"/>
      <c r="I18" s="6"/>
      <c r="J18" s="3"/>
      <c r="K18" s="3"/>
      <c r="L18" s="3"/>
      <c r="M18" s="3"/>
      <c r="N18" s="79"/>
    </row>
    <row r="19" spans="1:18" ht="12.75" customHeight="1" x14ac:dyDescent="0.25">
      <c r="A19" s="80"/>
      <c r="B19" s="173" t="str">
        <f>IF(Lang="Français","Élévation",IF(Lang="English","Angle /horizon",""))</f>
        <v>Élévation</v>
      </c>
      <c r="C19" s="728">
        <v>80</v>
      </c>
      <c r="D19" s="728"/>
      <c r="E19" s="6"/>
      <c r="F19" s="3"/>
      <c r="G19" s="3"/>
      <c r="H19" s="3"/>
      <c r="I19" s="6"/>
      <c r="J19" s="3"/>
      <c r="K19" s="3"/>
      <c r="L19" s="3"/>
      <c r="M19" s="3"/>
      <c r="N19" s="79"/>
    </row>
    <row r="20" spans="1:18" ht="12.75" customHeight="1" x14ac:dyDescent="0.25">
      <c r="A20" s="80"/>
      <c r="B20" s="173" t="s">
        <v>6</v>
      </c>
      <c r="C20" s="729">
        <v>0</v>
      </c>
      <c r="D20" s="729"/>
      <c r="E20" s="6"/>
      <c r="F20" s="6"/>
      <c r="G20" s="3"/>
      <c r="H20" s="3"/>
      <c r="I20" s="6"/>
      <c r="J20" s="3"/>
      <c r="K20" s="3"/>
      <c r="L20" s="3"/>
      <c r="M20" s="3"/>
      <c r="N20" s="79"/>
    </row>
    <row r="21" spans="1:18" ht="12.75" customHeight="1" x14ac:dyDescent="0.25">
      <c r="A21" s="80"/>
      <c r="B21" s="3"/>
      <c r="C21" s="3"/>
      <c r="D21" s="3"/>
      <c r="E21" s="3"/>
      <c r="F21" s="445" t="str">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3"/>
      <c r="H21" s="3"/>
      <c r="I21" s="3"/>
      <c r="J21" s="3"/>
      <c r="K21" s="3"/>
      <c r="L21" s="3"/>
      <c r="M21" s="3"/>
      <c r="N21" s="79"/>
    </row>
    <row r="22" spans="1:18" x14ac:dyDescent="0.25">
      <c r="A22" s="80"/>
      <c r="B22" s="3"/>
      <c r="C22" s="715" t="str">
        <f>IF(Lang="Français","DescenteSousParachute",IF(Lang="English","Over Parachute",""))</f>
        <v>DescenteSousParachute</v>
      </c>
      <c r="D22" s="716"/>
      <c r="E22" s="3"/>
      <c r="F22" s="10"/>
      <c r="G22" s="71">
        <f ca="1">TODAY()</f>
        <v>44881</v>
      </c>
      <c r="H22" s="578" t="str">
        <f>IF(Lang="Français","Temps",IF(Lang="English","Time",""))</f>
        <v>Temps</v>
      </c>
      <c r="I22" s="578" t="s">
        <v>12</v>
      </c>
      <c r="J22" s="578" t="str">
        <f>IF(Lang="Français","Portée x",IF(Lang="English","Range x",""))</f>
        <v>Portée x</v>
      </c>
      <c r="K22" s="578" t="str">
        <f>IF(Lang="Français","Vitesse",IF(Lang="English","Velocity",""))</f>
        <v>Vitesse</v>
      </c>
      <c r="L22" s="579" t="s">
        <v>13</v>
      </c>
      <c r="M22" s="588" t="s">
        <v>423</v>
      </c>
      <c r="N22" s="79"/>
    </row>
    <row r="23" spans="1:18" x14ac:dyDescent="0.25">
      <c r="A23" s="80"/>
      <c r="B23" s="81"/>
      <c r="C23" s="175" t="str">
        <f>C7</f>
        <v>Fusée</v>
      </c>
      <c r="D23" s="258" t="s">
        <v>121</v>
      </c>
      <c r="E23" s="3"/>
      <c r="F23" s="717" t="str">
        <f>IF(Lang="Français","Sortie de Rampe",IF(Lang="English","Launch-Pad Exit",""))</f>
        <v>Sortie de Rampe</v>
      </c>
      <c r="G23" s="718"/>
      <c r="H23" s="580"/>
      <c r="I23" s="580"/>
      <c r="J23" s="580"/>
      <c r="K23" s="581">
        <f ca="1">INDEX(vit_xz,MATCH("Sortie de rampe",Event,0))</f>
        <v>25.035790648174238</v>
      </c>
      <c r="L23" s="582"/>
      <c r="M23" s="589"/>
      <c r="N23" s="79"/>
    </row>
    <row r="24" spans="1:18" x14ac:dyDescent="0.25">
      <c r="A24" s="80"/>
      <c r="B24" s="550" t="str">
        <f>IF(Lang="Français","Masse",IF(Lang="English","Mass",""))</f>
        <v>Masse</v>
      </c>
      <c r="C24" s="551">
        <f ca="1">IF(Nb_sat="0 satellite",MasseVide,MasseVide-m_satellite)</f>
        <v>8.6519999999999992</v>
      </c>
      <c r="D24" s="568">
        <f>IF(RIGHT(Type_fusee,1)=".",1,0.15)</f>
        <v>1</v>
      </c>
      <c r="E24" s="28" t="str">
        <f>IF(ABS(T_satellite-0.11-T_para)&lt;0.1,"Pb!","")</f>
        <v/>
      </c>
      <c r="F24" s="721" t="str">
        <f>IF(Lang="Français","Vit max &amp; Acc max",IF(Lang="English","Max Velocity &amp; Acc",""))</f>
        <v>Vit max &amp; Acc max</v>
      </c>
      <c r="G24" s="722"/>
      <c r="H24" s="144"/>
      <c r="I24" s="144"/>
      <c r="J24" s="144"/>
      <c r="K24" s="191">
        <f ca="1">MAX(vit_xz)</f>
        <v>176.29977576665917</v>
      </c>
      <c r="L24" s="583">
        <f ca="1">MAX(acc_xz)</f>
        <v>82.582874146450379</v>
      </c>
      <c r="M24" s="589"/>
      <c r="N24" s="79"/>
    </row>
    <row r="25" spans="1:18" x14ac:dyDescent="0.25">
      <c r="A25" s="80"/>
      <c r="B25" s="554" t="str">
        <f>IF(Lang="Français","Dépotage",IF(Lang="English","Delay",""))</f>
        <v>Dépotage</v>
      </c>
      <c r="C25" s="594" t="s">
        <v>409</v>
      </c>
      <c r="D25" s="567"/>
      <c r="E25" s="3"/>
      <c r="F25" s="723" t="str">
        <f>IF(Lang="Français","Largage du satellite",IF(Lang="English","Satellite separation",""))</f>
        <v>Largage du satellite</v>
      </c>
      <c r="G25" s="724"/>
      <c r="H25" s="185">
        <f>IF(T_satellite&lt;&gt;0,T_satellite,"")</f>
        <v>3.5</v>
      </c>
      <c r="I25" s="189">
        <f ca="1">IF(T_satellite&lt;&gt;0,INDEX(pos_z,MATCH("Satellite",Event_sat,0)),"")</f>
        <v>373.22144670722844</v>
      </c>
      <c r="J25" s="187">
        <f ca="1">IF(T_satellite&lt;&gt;0,INDEX(pos_x,MATCH("Satellite",Event_sat,0)),"")</f>
        <v>84.361005952635153</v>
      </c>
      <c r="K25" s="192">
        <f ca="1">IF(T_satellite&lt;&gt;0,INDEX(vit_xz,MATCH("Satellite",Event_sat,0)),"")</f>
        <v>174.97666183417621</v>
      </c>
      <c r="L25" s="584"/>
      <c r="M25" s="573">
        <f ca="1">1/2*Rho_moyen*1*V_ouv_sat^2*S_satellite</f>
        <v>1875.2809714311891</v>
      </c>
      <c r="N25" s="79"/>
    </row>
    <row r="26" spans="1:18" x14ac:dyDescent="0.25">
      <c r="A26" s="80"/>
      <c r="B26" s="552" t="str">
        <f>IF(Lang="Français","Ouverture para",IF(Lang="English","Opening time",""))</f>
        <v>Ouverture para</v>
      </c>
      <c r="C26" s="596">
        <v>16</v>
      </c>
      <c r="D26" s="553">
        <v>3.5</v>
      </c>
      <c r="E26" s="3"/>
      <c r="F26" s="721" t="s">
        <v>15</v>
      </c>
      <c r="G26" s="722"/>
      <c r="H26" s="186">
        <f ca="1">INDEX(t,MATCH("Apogée",Event,0))</f>
        <v>17.199999999999932</v>
      </c>
      <c r="I26" s="190">
        <f ca="1">INDEX(pos_z,MATCH("Apogée",Event,0))</f>
        <v>1415.3356551860206</v>
      </c>
      <c r="J26" s="188">
        <f ca="1">INDEX(pos_x,MATCH("Apogée",Event,0))</f>
        <v>544.80346255917391</v>
      </c>
      <c r="K26" s="193">
        <f ca="1">INDEX(vit_xz,MATCH("Apogée",Event,0))</f>
        <v>29.647815193966849</v>
      </c>
      <c r="L26" s="585"/>
      <c r="M26" s="589"/>
      <c r="N26" s="79"/>
    </row>
    <row r="27" spans="1:18" x14ac:dyDescent="0.25">
      <c r="A27" s="80"/>
      <c r="B27" s="174" t="s">
        <v>9</v>
      </c>
      <c r="C27" s="263">
        <f>S_para_croix</f>
        <v>0.26020500000000002</v>
      </c>
      <c r="D27" s="26">
        <f>IF(RIGHT(Type_fusee,1)=".",0.1,0.02)</f>
        <v>0.1</v>
      </c>
      <c r="E27" s="3"/>
      <c r="F27" s="719" t="str">
        <f>IF(Lang="Français","Ouverture parachute fusée",IF(Lang="English","Rocket parachute opening",""))</f>
        <v>Ouverture parachute fusée</v>
      </c>
      <c r="G27" s="720"/>
      <c r="H27" s="185">
        <f>T_para</f>
        <v>16</v>
      </c>
      <c r="I27" s="189">
        <f ca="1">INDEX(pos_z,MATCH("Para",Event_para,0))</f>
        <v>1407.4995786941179</v>
      </c>
      <c r="J27" s="574">
        <f ca="1">INDEX(pos_x,MATCH("Para",Event_para,0))</f>
        <v>509.05322987280238</v>
      </c>
      <c r="K27" s="192">
        <f ca="1">INDEX(vit_xz,MATCH("Para",Event_para,0))</f>
        <v>32.437770654801028</v>
      </c>
      <c r="L27" s="584"/>
      <c r="M27" s="573">
        <f ca="1">1/2*Rho_moyen*1*V_ouverture^2*S_para</f>
        <v>167.69639567293979</v>
      </c>
      <c r="N27" s="79"/>
      <c r="P27" s="566" t="str">
        <f ca="1">IF(V_para&lt;5, IF(Lang="Français","Parachute fusée trop grand !","Parachute too big!"), IF( V_para&gt;15, IF(Lang="Français","Parachute fusée trop petit !","Parachute too small!"), ""))</f>
        <v>Parachute fusée trop petit !</v>
      </c>
      <c r="R27" s="566" t="str">
        <f>IF(AND(Nb_sat="1 satellite", OR(V_satellite&lt;5)), IF(Lang="Français","Parachute satéllite trop grand !","Parachute too big"), IF(AND(Nb_sat="1 satellite",OR(V_satellite&gt;15)), IF(Lang="Français","Parachute satéllite trop petit !","Parachute too small!"), ""))</f>
        <v/>
      </c>
    </row>
    <row r="28" spans="1:18" x14ac:dyDescent="0.25">
      <c r="A28" s="80"/>
      <c r="B28" s="174" t="s">
        <v>10</v>
      </c>
      <c r="C28" s="176">
        <v>1</v>
      </c>
      <c r="D28" s="176">
        <v>1</v>
      </c>
      <c r="E28" s="3"/>
      <c r="F28" s="708" t="str">
        <f>IF(Lang="Français","Impact balistique",IF(Lang="English","Balistic Impact",""))</f>
        <v>Impact balistique</v>
      </c>
      <c r="G28" s="709"/>
      <c r="H28" s="586">
        <f ca="1">INDEX(t,MATCH("Impact balistique",Event,0))</f>
        <v>35.600000000000193</v>
      </c>
      <c r="I28" s="607" t="s">
        <v>430</v>
      </c>
      <c r="J28" s="575">
        <f ca="1">INDEX(pos_x,MATCH("Impact balistique",Event,0))</f>
        <v>1009.0500868209435</v>
      </c>
      <c r="K28" s="590">
        <f ca="1">K45</f>
        <v>137.41077918326965</v>
      </c>
      <c r="L28" s="587"/>
      <c r="M28" s="591">
        <f ca="1">0.5*m_vide*K28^2</f>
        <v>81682.330391868731</v>
      </c>
      <c r="N28" s="79"/>
      <c r="P28" s="566" t="str">
        <f ca="1">IF( OR( V_para&lt;5, V_para&gt;15, AND(Nb_sat="1 satellite", OR(V_satellite&lt;5, V_satellite&gt;15))), IF(Lang="Français","La Vitesse de descente sous parachute doit être comprise entre 5 &amp; 15 m/s.","Fall Velocity with parachute must be between 5 &amp; 15 m/s."), "")</f>
        <v>La Vitesse de descente sous parachute doit être comprise entre 5 &amp; 15 m/s.</v>
      </c>
    </row>
    <row r="29" spans="1:18" x14ac:dyDescent="0.25">
      <c r="A29" s="80"/>
      <c r="B29" s="174" t="str">
        <f>IF(Lang="Français","Vitesse du vent",IF(Lang="English","Wind speed",""))</f>
        <v>Vitesse du vent</v>
      </c>
      <c r="C29" s="177">
        <v>5</v>
      </c>
      <c r="D29" s="177">
        <f>V_vent</f>
        <v>5</v>
      </c>
      <c r="E29" s="28" t="str">
        <f>IF(AND(T_satellite=0,m_satellite&lt;&gt;0),"Erreur !","")</f>
        <v/>
      </c>
      <c r="F29" s="576"/>
      <c r="G29" s="571"/>
      <c r="H29" s="572"/>
      <c r="I29" s="577"/>
      <c r="K29" s="3"/>
      <c r="L29" s="3"/>
      <c r="M29" s="3"/>
      <c r="N29" s="79"/>
      <c r="P29" s="566" t="str">
        <f ca="1">IF(AND(Portee_balistique&gt;200,LEFT(Type_propu,4)="Mini"),IF(Lang="Français","Fusée trop lègère !","Rocket too light"),"")</f>
        <v/>
      </c>
    </row>
    <row r="30" spans="1:18" x14ac:dyDescent="0.25">
      <c r="A30" s="80"/>
      <c r="B30" s="166" t="str">
        <f>IF(Lang="Français","Vitesse descente",IF(Lang="English","Fall velocity",""))</f>
        <v>Vitesse descente</v>
      </c>
      <c r="C30" s="488">
        <f ca="1">SQRT(2*m_vide*g/Rho_moyen/S_para/Cx_para)</f>
        <v>23.077135165697658</v>
      </c>
      <c r="D30" s="488">
        <f>SQRT(2*m_satellite*g/Rho_moyen/S_satellite/Cx_satellite)</f>
        <v>12.655562623057198</v>
      </c>
      <c r="E30" s="3"/>
      <c r="F30" s="445"/>
      <c r="G30" s="3"/>
      <c r="H30" s="3"/>
      <c r="I30" s="3"/>
      <c r="J30" s="3"/>
      <c r="K30" s="449"/>
      <c r="L30" s="3"/>
      <c r="M30" s="3"/>
      <c r="N30" s="79"/>
      <c r="P30" s="566" t="str">
        <f ca="1">IF(OR(AND(Vsortie_de_rampe&lt;20,LEFT(Type_fusee,1)="F"),AND(Vsortie_de_rampe&lt;18, OR(LEFT(Type_fusee,1)=",",LEFT(Type_fusee,4)="Mini",LEFT(Type_fusee,1)="R"))),IF(Lang="Français","Fusée trop lourde ou rampe trop courte !","Rocket too heavy or launch pad too small!"),"")</f>
        <v/>
      </c>
    </row>
    <row r="31" spans="1:18" x14ac:dyDescent="0.25">
      <c r="A31" s="80"/>
      <c r="B31" s="166" t="str">
        <f>IF(Lang="Français","Durée descente",IF(Lang="English","Fall duration",""))</f>
        <v>Durée descente</v>
      </c>
      <c r="C31" s="165">
        <f ca="1">Alt_para/V_para</f>
        <v>60.991087870658006</v>
      </c>
      <c r="D31" s="165">
        <f ca="1">IF(V_satellite&lt;&gt;0,Alt_sat/V_satellite,0)</f>
        <v>29.490703639461703</v>
      </c>
      <c r="E31" s="3"/>
      <c r="F31" s="3"/>
      <c r="G31" s="3"/>
      <c r="H31" s="710" t="str">
        <f>IF(Lang="Français","Pour localiser la fusée","To locate the rocket")</f>
        <v>Pour localiser la fusée</v>
      </c>
      <c r="I31" s="710"/>
      <c r="J31" s="570"/>
      <c r="L31" s="3"/>
      <c r="M31" s="3"/>
      <c r="N31" s="456"/>
      <c r="P31" s="566" t="str">
        <f ca="1">IF(Temps_culmi-T_para&gt;2,IF(Lang="Français","Ouverture parachute fusée précoce.","Early rocket parachute opening."),IF(Temps_culmi-T_para&lt;-2,IF(Lang="Français","Ouverture parachute fusée tardive.","Late rocket parachute opening."),""))</f>
        <v/>
      </c>
    </row>
    <row r="32" spans="1:18" x14ac:dyDescent="0.25">
      <c r="A32" s="80"/>
      <c r="B32" s="166" t="str">
        <f>IF(Lang="Français","Durée du vol",IF(Lang="English","Fligth duration",""))</f>
        <v>Durée du vol</v>
      </c>
      <c r="C32" s="165">
        <f ca="1">T_para+Dt_para</f>
        <v>76.991087870658006</v>
      </c>
      <c r="D32" s="165">
        <f ca="1">T_satellite+Dt_satellite</f>
        <v>32.990703639461699</v>
      </c>
      <c r="E32" s="3"/>
      <c r="F32" s="710" t="str">
        <f>IF(Lang="Français","Couleur fuselage/coiffe","Body/Nose color")</f>
        <v>Couleur fuselage/coiffe</v>
      </c>
      <c r="G32" s="710"/>
      <c r="H32" s="706" t="s">
        <v>267</v>
      </c>
      <c r="I32" s="707"/>
      <c r="J32" s="3"/>
      <c r="L32" s="3"/>
      <c r="M32" s="3"/>
      <c r="N32" s="455"/>
      <c r="P32" s="566" t="str">
        <f ca="1">IF(ABS(Temps_culmi-T_para)&gt;2,IF(Lang="Français","Attention, aux efforts sur le parachute lors de l'ouverture !","Becarefull to the opening chute efforts!"),"")</f>
        <v/>
      </c>
    </row>
    <row r="33" spans="1:16" customFormat="1" x14ac:dyDescent="0.25">
      <c r="A33" s="96"/>
      <c r="B33" s="166" t="str">
        <f>IF(Lang="Français","Déport latéral",IF(Lang="English","Lateral shift",""))</f>
        <v>Déport latéral</v>
      </c>
      <c r="C33" s="184">
        <f ca="1">Alt_para*V_vent/V_para</f>
        <v>304.95543935329005</v>
      </c>
      <c r="D33" s="184">
        <f ca="1">IF(V_satellite&lt;&gt;0,Alt_sat*V_vent_sat/V_satellite,0)</f>
        <v>147.45351819730854</v>
      </c>
      <c r="E33" s="81"/>
      <c r="F33" s="710" t="str">
        <f>IF(Lang="Français","Couleur parachute fusée","Rocket parachute color")</f>
        <v>Couleur parachute fusée</v>
      </c>
      <c r="G33" s="710"/>
      <c r="H33" s="706" t="s">
        <v>268</v>
      </c>
      <c r="I33" s="707"/>
      <c r="J33" s="81"/>
      <c r="K33" s="81"/>
      <c r="L33" s="81"/>
      <c r="M33" s="81"/>
      <c r="N33" s="455" t="str">
        <f>IF(Lang="Français","fichier initial","Initial file")</f>
        <v>fichier initial</v>
      </c>
    </row>
    <row r="34" spans="1:16" x14ac:dyDescent="0.25">
      <c r="A34" s="80"/>
      <c r="B34" s="3"/>
      <c r="C34" s="3"/>
      <c r="D34" s="3"/>
      <c r="E34" s="3"/>
      <c r="F34" s="710" t="str">
        <f>IF(Lang="Français","Couleur parachute satellite","Satellite parachute color")</f>
        <v>Couleur parachute satellite</v>
      </c>
      <c r="G34" s="710"/>
      <c r="H34" s="714" t="s">
        <v>159</v>
      </c>
      <c r="I34" s="714"/>
      <c r="J34" s="3"/>
      <c r="K34" s="3"/>
      <c r="L34" s="3"/>
      <c r="M34" s="3"/>
      <c r="N34" s="454" t="str">
        <f>IF(ROUND(SUM(Propu!5:1228),0)=395253,"propu OK","propu NOK")</f>
        <v>propu OK</v>
      </c>
      <c r="P34"/>
    </row>
    <row r="35" spans="1:16" ht="13.8" thickBot="1" x14ac:dyDescent="0.3">
      <c r="A35" s="82"/>
      <c r="B35" s="215" t="str">
        <f>IF(Lang="Français","Commentaire libre :",IF(Lang="English","Free comment:",""))</f>
        <v>Commentaire libre :</v>
      </c>
      <c r="C35" s="83"/>
      <c r="D35" s="83"/>
      <c r="E35" s="83"/>
      <c r="F35" s="83"/>
      <c r="G35" s="83"/>
      <c r="H35" s="83"/>
      <c r="I35" s="83"/>
      <c r="J35" s="83"/>
      <c r="K35" s="83"/>
      <c r="L35" s="83"/>
      <c r="M35" s="83"/>
      <c r="N35" s="340" t="s">
        <v>546</v>
      </c>
      <c r="P35"/>
    </row>
    <row r="38" spans="1:16" x14ac:dyDescent="0.25">
      <c r="A38" s="711" t="str">
        <f>IF(Lang="Français","Calcul de la surface d'un parachute","Parachute surface calculation")</f>
        <v>Calcul de la surface d'un parachute</v>
      </c>
      <c r="B38" s="712"/>
      <c r="C38" s="712"/>
      <c r="D38" s="713"/>
      <c r="F38" s="711" t="str">
        <f>IF(Lang="Français","Résultats détaillés","Detailled results")</f>
        <v>Résultats détaillés</v>
      </c>
      <c r="G38" s="713"/>
      <c r="H38" s="203" t="str">
        <f>IF(Lang="Français","Temps",IF(Lang="English","Time",""))</f>
        <v>Temps</v>
      </c>
      <c r="I38" s="167" t="s">
        <v>12</v>
      </c>
      <c r="J38" s="167" t="str">
        <f>IF(Lang="Français","Portée x",IF(Lang="English","Range x",""))</f>
        <v>Portée x</v>
      </c>
      <c r="K38" s="167" t="str">
        <f>IF(Lang="Français","Vitesse",IF(Lang="English","Velocity",""))</f>
        <v>Vitesse</v>
      </c>
      <c r="L38" s="168" t="s">
        <v>13</v>
      </c>
      <c r="M38" s="167" t="s">
        <v>42</v>
      </c>
    </row>
    <row r="39" spans="1:16" x14ac:dyDescent="0.25">
      <c r="A39" s="194"/>
      <c r="B39" s="3"/>
      <c r="C39" s="3"/>
      <c r="D39" s="195"/>
      <c r="F39" s="205"/>
      <c r="G39" s="206"/>
      <c r="H39" s="204" t="s">
        <v>154</v>
      </c>
      <c r="I39" s="169" t="s">
        <v>39</v>
      </c>
      <c r="J39" s="169" t="s">
        <v>39</v>
      </c>
      <c r="K39" s="169" t="s">
        <v>155</v>
      </c>
      <c r="L39" s="169" t="s">
        <v>7</v>
      </c>
      <c r="M39" s="169" t="s">
        <v>156</v>
      </c>
    </row>
    <row r="40" spans="1:16" x14ac:dyDescent="0.25">
      <c r="A40" s="194"/>
      <c r="B40" s="3"/>
      <c r="C40" s="3"/>
      <c r="D40" s="195"/>
      <c r="F40" s="735" t="str">
        <f>IF(Lang="Français","Décollage",IF(Lang="English","Lift-Off",""))</f>
        <v>Décollage</v>
      </c>
      <c r="G40" s="735"/>
      <c r="H40" s="183">
        <v>0</v>
      </c>
      <c r="I40" s="183">
        <v>0</v>
      </c>
      <c r="J40" s="183">
        <v>0</v>
      </c>
      <c r="K40" s="183">
        <v>0</v>
      </c>
      <c r="L40" s="181" t="s">
        <v>14</v>
      </c>
      <c r="M40" s="182">
        <f>Beta_rampe</f>
        <v>80</v>
      </c>
    </row>
    <row r="41" spans="1:16" x14ac:dyDescent="0.25">
      <c r="A41" s="194"/>
      <c r="B41" s="3"/>
      <c r="C41" s="3"/>
      <c r="D41" s="195"/>
      <c r="F41" s="722" t="str">
        <f>IF(Lang="Français","Sortie de Rampe",IF(Lang="English","Launch-Pad Exit",""))</f>
        <v>Sortie de Rampe</v>
      </c>
      <c r="G41" s="722"/>
      <c r="H41" s="144">
        <f ca="1">INDEX(t,MATCH("Sortie de rampe",Event,0))</f>
        <v>0.34000000000000014</v>
      </c>
      <c r="I41" s="144">
        <f ca="1">INDEX(pos_z,MATCH("Sortie de rampe",Event,0))</f>
        <v>3.9000832582352913</v>
      </c>
      <c r="J41" s="144">
        <f ca="1">INDEX(pos_x,MATCH("Sortie de rampe",Event,0))</f>
        <v>0.68765094816725625</v>
      </c>
      <c r="K41" s="145">
        <f ca="1">INDEX(vit_xz,MATCH("Sortie de rampe",Event,0))</f>
        <v>25.035790648174238</v>
      </c>
      <c r="L41" s="146">
        <f ca="1">INDEX(acc_xz,MATCH("Sortie de rampe",Event,0))</f>
        <v>77.391491792962015</v>
      </c>
      <c r="M41" s="146">
        <f ca="1">INDEX(BetaD,MATCH("Sortie de rampe",Event,0))</f>
        <v>80</v>
      </c>
    </row>
    <row r="42" spans="1:16" x14ac:dyDescent="0.25">
      <c r="A42" s="194"/>
      <c r="B42" s="199" t="str">
        <f>IF(Lang="Français","Longeur du bord","Side length")</f>
        <v>Longeur du bord</v>
      </c>
      <c r="C42" s="3"/>
      <c r="D42" s="195"/>
      <c r="F42" s="722" t="str">
        <f>IF(Lang="Français","Vit max &amp; Acc max",IF(Lang="English","Max Velocity &amp; Acc",""))</f>
        <v>Vit max &amp; Acc max</v>
      </c>
      <c r="G42" s="722"/>
      <c r="H42" s="144" t="s">
        <v>14</v>
      </c>
      <c r="I42" s="144" t="s">
        <v>14</v>
      </c>
      <c r="J42" s="144" t="s">
        <v>14</v>
      </c>
      <c r="K42" s="147">
        <f ca="1">MAX(vit_xz)</f>
        <v>176.29977576665917</v>
      </c>
      <c r="L42" s="148">
        <f ca="1">MAX(acc_xz)</f>
        <v>82.582874146450379</v>
      </c>
      <c r="M42" s="145" t="s">
        <v>14</v>
      </c>
    </row>
    <row r="43" spans="1:16" x14ac:dyDescent="0.25">
      <c r="A43" s="194"/>
      <c r="B43" s="200">
        <v>249</v>
      </c>
      <c r="C43" s="3"/>
      <c r="D43" s="195"/>
      <c r="F43" s="722" t="str">
        <f>IF(Lang="Français","Fin de Propulsion",IF(Lang="English","Motor Burn-Out",""))</f>
        <v>Fin de Propulsion</v>
      </c>
      <c r="G43" s="722"/>
      <c r="H43" s="146">
        <f ca="1">INDEX(t,MATCH("Fin de propulsion",Event,0))</f>
        <v>3.5999999999999672</v>
      </c>
      <c r="I43" s="149">
        <f ca="1">INDEX(pos_z,MATCH("Fin de propulsion",Event,0))</f>
        <v>390.13508354435527</v>
      </c>
      <c r="J43" s="149">
        <f ca="1">INDEX(pos_x,MATCH("Fin de propulsion",Event,0))</f>
        <v>88.535895518612804</v>
      </c>
      <c r="K43" s="150">
        <f ca="1">INDEX(vit_xz,MATCH("Fin de propulsion",Event,0))</f>
        <v>173.34843075403981</v>
      </c>
      <c r="L43" s="146">
        <f ca="1">INDEX(acc_xz,MATCH("Fin de propulsion",Event,0))</f>
        <v>18.953311180610132</v>
      </c>
      <c r="M43" s="146">
        <f ca="1">INDEX(BetaD,MATCH("Fin de propulsion",Event,0))</f>
        <v>76.095694813709613</v>
      </c>
    </row>
    <row r="44" spans="1:16" x14ac:dyDescent="0.25">
      <c r="A44" s="194"/>
      <c r="B44" s="199" t="str">
        <f>IF(Lang="Français","Largeur du coté","Side width")</f>
        <v>Largeur du coté</v>
      </c>
      <c r="C44" s="3"/>
      <c r="D44" s="195"/>
      <c r="F44" s="722" t="s">
        <v>15</v>
      </c>
      <c r="G44" s="722"/>
      <c r="H44" s="148">
        <f ca="1">INDEX(t,MATCH("Apogée",Event,0))</f>
        <v>17.199999999999932</v>
      </c>
      <c r="I44" s="147">
        <f ca="1">INDEX(pos_z,MATCH("Apogée",Event,0))</f>
        <v>1415.3356551860206</v>
      </c>
      <c r="J44" s="151">
        <f ca="1">INDEX(pos_x,MATCH("Apogée",Event,0))</f>
        <v>544.80346255917391</v>
      </c>
      <c r="K44" s="151">
        <f ca="1">INDEX(vit_xz,MATCH("Apogée",Event,0))</f>
        <v>29.647815193966849</v>
      </c>
      <c r="L44" s="145">
        <f ca="1">INDEX(acc_xz,MATCH("Apogée",Event,0))</f>
        <v>9.82628224412192</v>
      </c>
      <c r="M44" s="152">
        <f ca="1">INDEX(BetaD,MATCH("Apogée",Event,0))</f>
        <v>1.1947424516219942</v>
      </c>
    </row>
    <row r="45" spans="1:16" x14ac:dyDescent="0.25">
      <c r="A45" s="194"/>
      <c r="B45" s="201">
        <v>199</v>
      </c>
      <c r="C45" s="3"/>
      <c r="D45" s="195"/>
      <c r="F45" s="737" t="str">
        <f>IF(Lang="Français","Impact balistique",IF(Lang="English","Balistic Impact",""))</f>
        <v>Impact balistique</v>
      </c>
      <c r="G45" s="737"/>
      <c r="H45" s="145">
        <f ca="1">INDEX(t,MATCH("Impact balistique",Event,0))</f>
        <v>35.600000000000193</v>
      </c>
      <c r="I45" s="181" t="s">
        <v>16</v>
      </c>
      <c r="J45" s="147">
        <f ca="1">INDEX(pos_x,MATCH("Impact balistique",Event,0))</f>
        <v>1009.0500868209435</v>
      </c>
      <c r="K45" s="150">
        <f ca="1">INDEX(vit_xz,MATCH("Impact balistique",Event,0))</f>
        <v>137.41077918326965</v>
      </c>
      <c r="L45" s="145">
        <f ca="1">INDEX(acc_xz,MATCH("Impact balistique",Event,0))</f>
        <v>3.9372709024903729</v>
      </c>
      <c r="M45" s="145">
        <f ca="1">INDEX(BetaD,MATCH("Impact balistique",Event,0))</f>
        <v>-82.172864428328779</v>
      </c>
    </row>
    <row r="46" spans="1:16" x14ac:dyDescent="0.25">
      <c r="A46" s="194"/>
      <c r="B46" s="202" t="s">
        <v>9</v>
      </c>
      <c r="C46" s="3"/>
      <c r="D46" s="195"/>
      <c r="F46" s="720" t="str">
        <f>IF(Lang="Français","Ouverture parachute fusée",IF(Lang="English","Rocket parachute opening",""))</f>
        <v>Ouverture parachute fusée</v>
      </c>
      <c r="G46" s="720"/>
      <c r="H46" s="153">
        <f>T_para</f>
        <v>16</v>
      </c>
      <c r="I46" s="154">
        <f ca="1">INDEX(pos_z,MATCH("Para",Event_para,0))</f>
        <v>1407.4995786941179</v>
      </c>
      <c r="J46" s="154">
        <f ca="1">INDEX(pos_x,MATCH("Para",Event_para,0))</f>
        <v>509.05322987280238</v>
      </c>
      <c r="K46" s="154">
        <f ca="1">INDEX(vit_xz,MATCH("Para",Event_para,0))</f>
        <v>32.437770654801028</v>
      </c>
      <c r="L46" s="155">
        <f ca="1">INDEX(acc_xz,MATCH("Para",Event_para,0))</f>
        <v>9.9368657638682656</v>
      </c>
      <c r="M46" s="156">
        <f ca="1">INDEX(BetaD,MATCH("Para",Event_para,0))</f>
        <v>22.595591646734142</v>
      </c>
    </row>
    <row r="47" spans="1:16" x14ac:dyDescent="0.25">
      <c r="A47" s="194"/>
      <c r="B47" s="207">
        <f>(4*B43*B45+B43^2)/10^6</f>
        <v>0.26020500000000002</v>
      </c>
      <c r="C47" s="3"/>
      <c r="D47" s="195"/>
      <c r="F47" s="738" t="str">
        <f>IF(Lang="Français","Impact fusée sous para.",IF(Lang="English","Impact of rocket with para. ",""))</f>
        <v>Impact fusée sous para.</v>
      </c>
      <c r="G47" s="738"/>
      <c r="H47" s="157">
        <f ca="1">T_para+Dt_para</f>
        <v>76.991087870658006</v>
      </c>
      <c r="I47" s="159" t="s">
        <v>16</v>
      </c>
      <c r="J47" s="158" t="str">
        <f ca="1">CONCATENATE(TEXT(X_para-Dx_para,"0")," | ",TEXT(X_para+Dx_para,"0"))</f>
        <v>204 | 814</v>
      </c>
      <c r="K47" s="160">
        <f ca="1">V_para</f>
        <v>23.077135165697658</v>
      </c>
      <c r="L47" s="161">
        <f>g</f>
        <v>9.81</v>
      </c>
      <c r="M47" s="161" t="s">
        <v>14</v>
      </c>
    </row>
    <row r="48" spans="1:16" x14ac:dyDescent="0.25">
      <c r="A48" s="194"/>
      <c r="B48" s="3"/>
      <c r="C48" s="3"/>
      <c r="D48" s="195"/>
      <c r="F48" s="736" t="str">
        <f>IF(Lang="Français","Largage du satellite",IF(Lang="English","Satellite separation",""))</f>
        <v>Largage du satellite</v>
      </c>
      <c r="G48" s="724"/>
      <c r="H48" s="153">
        <f>IF(T_satellite&lt;&gt;0,T_satellite,"")</f>
        <v>3.5</v>
      </c>
      <c r="I48" s="154">
        <f ca="1">IF(T_satellite&lt;&gt;0,INDEX(pos_z,MATCH("Satellite",Event_sat,0)),"")</f>
        <v>373.22144670722844</v>
      </c>
      <c r="J48" s="162">
        <f ca="1">IF(T_satellite&lt;&gt;0,INDEX(pos_x,MATCH("Satellite",Event_sat,0)),"")</f>
        <v>84.361005952635153</v>
      </c>
      <c r="K48" s="154">
        <f ca="1">IF(T_satellite&lt;&gt;0,INDEX(vit_xz,MATCH("Satellite",Event_sat,0)),"")</f>
        <v>174.97666183417621</v>
      </c>
      <c r="L48" s="155">
        <f ca="1">IF(T_satellite&lt;&gt;0,INDEX(acc_xz,MATCH("Satellite",Event_sat,0)),"")</f>
        <v>13.074777637134515</v>
      </c>
      <c r="M48" s="156">
        <f ca="1">IF(T_satellite&lt;&gt;0,INDEX(BetaD,MATCH("Satellite",Event_sat,0)),"")</f>
        <v>76.173028368945012</v>
      </c>
    </row>
    <row r="49" spans="1:13" x14ac:dyDescent="0.25">
      <c r="A49" s="194"/>
      <c r="B49" s="3"/>
      <c r="C49" s="3"/>
      <c r="D49" s="195"/>
      <c r="F49" s="733" t="str">
        <f>IF(Lang="Français","Impact du satellite",IF(Lang="English","Satellite impact",""))</f>
        <v>Impact du satellite</v>
      </c>
      <c r="G49" s="734"/>
      <c r="H49" s="157">
        <f ca="1">IF(T_satellite&lt;&gt;0,T_satellite+Dt_satellite,"")</f>
        <v>32.990703639461699</v>
      </c>
      <c r="I49" s="163" t="str">
        <f>IF(T_satellite&lt;&gt;0,"~0","")</f>
        <v>~0</v>
      </c>
      <c r="J49" s="163" t="str">
        <f ca="1">IF(T_satellite&lt;&gt;0,CONCATENATE(TEXT(X_satellite-Dx_sat,"0")," | ",TEXT(X_satellite+Dx_sat,"0")),"")</f>
        <v>-63 | 232</v>
      </c>
      <c r="K49" s="163">
        <f>IF(T_satellite&lt;&gt;0,V_satellite,"")</f>
        <v>12.655562623057198</v>
      </c>
      <c r="L49" s="161">
        <f>IF(T_satellite&lt;&gt;0,g,"")</f>
        <v>9.81</v>
      </c>
      <c r="M49" s="164" t="str">
        <f>IF(T_satellite&lt;&gt;0,"-","")</f>
        <v>-</v>
      </c>
    </row>
    <row r="50" spans="1:13" x14ac:dyDescent="0.25">
      <c r="A50" s="194"/>
      <c r="B50" s="199" t="str">
        <f>IF(Lang="Français","Rayon exterieur","Half-diameter ext")</f>
        <v>Rayon exterieur</v>
      </c>
      <c r="C50" s="3"/>
      <c r="D50" s="195"/>
    </row>
    <row r="51" spans="1:13" x14ac:dyDescent="0.25">
      <c r="A51" s="194"/>
      <c r="B51" s="201">
        <v>299</v>
      </c>
      <c r="C51" s="3"/>
      <c r="D51" s="195"/>
    </row>
    <row r="52" spans="1:13" x14ac:dyDescent="0.25">
      <c r="A52" s="194"/>
      <c r="B52" s="199" t="str">
        <f>IF(Lang="Français","Rayon intérieur","Half-diameter int")</f>
        <v>Rayon intérieur</v>
      </c>
      <c r="C52" s="3"/>
      <c r="D52" s="195"/>
    </row>
    <row r="53" spans="1:13" x14ac:dyDescent="0.25">
      <c r="A53" s="194"/>
      <c r="B53" s="201">
        <v>29</v>
      </c>
      <c r="C53" s="3"/>
      <c r="D53" s="195"/>
    </row>
    <row r="54" spans="1:13" x14ac:dyDescent="0.25">
      <c r="A54" s="194"/>
      <c r="B54" s="202" t="s">
        <v>9</v>
      </c>
      <c r="C54" s="3"/>
      <c r="D54" s="195"/>
    </row>
    <row r="55" spans="1:13" x14ac:dyDescent="0.25">
      <c r="A55" s="194"/>
      <c r="B55" s="207">
        <f>PI()*(B51^2-B53^2)/10^6</f>
        <v>0.27821944540191207</v>
      </c>
      <c r="C55" s="3"/>
      <c r="D55" s="195"/>
    </row>
    <row r="56" spans="1:13" x14ac:dyDescent="0.25">
      <c r="A56" s="196"/>
      <c r="B56" s="197"/>
      <c r="C56" s="197"/>
      <c r="D56" s="198"/>
    </row>
    <row r="57" spans="1:13" x14ac:dyDescent="0.25">
      <c r="B57" s="3"/>
      <c r="C57" s="3"/>
      <c r="D57" s="3"/>
    </row>
    <row r="58" spans="1:13" x14ac:dyDescent="0.25">
      <c r="B58" s="3"/>
      <c r="C58" s="3"/>
      <c r="D58" s="3"/>
    </row>
    <row r="59" spans="1:13" x14ac:dyDescent="0.25">
      <c r="A59" s="3"/>
      <c r="B59" s="3"/>
      <c r="C59" s="3"/>
      <c r="D59" s="3"/>
    </row>
    <row r="60" spans="1:13" x14ac:dyDescent="0.25">
      <c r="B60" s="3"/>
      <c r="C60" s="3"/>
      <c r="D60" s="3"/>
    </row>
    <row r="61" spans="1:13" x14ac:dyDescent="0.25">
      <c r="B61" s="3"/>
      <c r="C61" s="3"/>
      <c r="D61" s="3"/>
    </row>
    <row r="62" spans="1:13" x14ac:dyDescent="0.25">
      <c r="B62" s="3"/>
    </row>
    <row r="63" spans="1:13" x14ac:dyDescent="0.25">
      <c r="B63" s="3"/>
    </row>
    <row r="93" spans="2:2" x14ac:dyDescent="0.25">
      <c r="B93" s="35" t="str">
        <f>IF(Lang="Français","Vitesse de descente sous parachute :",IF(Lang="English","Fall velocity over parachute:",""))</f>
        <v>Vitesse de descente sous parachute :</v>
      </c>
    </row>
    <row r="102" spans="2:7" x14ac:dyDescent="0.25">
      <c r="B102" s="35" t="str">
        <f>IF(Lang="Français","Textes pour les listes déroulantes et graphiques :","Texts for drop-down lists &amp; graphics :")</f>
        <v>Textes pour les listes déroulantes et graphiques :</v>
      </c>
      <c r="F102" s="259" t="s">
        <v>409</v>
      </c>
      <c r="G102" s="1" t="s">
        <v>416</v>
      </c>
    </row>
    <row r="103" spans="2:7" x14ac:dyDescent="0.25">
      <c r="F103" s="563">
        <f ca="1">Combustion+Depotage-9</f>
        <v>-9</v>
      </c>
      <c r="G103" s="564" t="s">
        <v>411</v>
      </c>
    </row>
    <row r="104" spans="2:7" x14ac:dyDescent="0.25">
      <c r="B104" s="1" t="s">
        <v>121</v>
      </c>
      <c r="F104" s="563">
        <f ca="1">Combustion+Depotage-7</f>
        <v>-7</v>
      </c>
      <c r="G104" s="564" t="s">
        <v>412</v>
      </c>
    </row>
    <row r="105" spans="2:7" x14ac:dyDescent="0.25">
      <c r="B105" s="1" t="s">
        <v>122</v>
      </c>
      <c r="F105" s="563">
        <f ca="1">Combustion+Depotage-5</f>
        <v>-5</v>
      </c>
      <c r="G105" s="564" t="s">
        <v>413</v>
      </c>
    </row>
    <row r="106" spans="2:7" x14ac:dyDescent="0.25">
      <c r="B106" s="1" t="str">
        <f>IF(T_para&gt;0,IF(Lang="Français","Phase ascendante","Climbing phase"),"")</f>
        <v>Phase ascendante</v>
      </c>
      <c r="F106" s="563">
        <f ca="1">Combustion+Depotage-3</f>
        <v>-3</v>
      </c>
      <c r="G106" s="564" t="s">
        <v>414</v>
      </c>
    </row>
    <row r="107" spans="2:7" x14ac:dyDescent="0.25">
      <c r="B107" s="1" t="str">
        <f>IF(Lang="Français","Descente balistique","Balistic fall")</f>
        <v>Descente balistique</v>
      </c>
      <c r="F107" s="563">
        <f ca="1">Combustion+Depotage</f>
        <v>0</v>
      </c>
      <c r="G107" s="564" t="s">
        <v>415</v>
      </c>
    </row>
    <row r="108" spans="2:7" x14ac:dyDescent="0.25">
      <c r="B108" s="1" t="str">
        <f>IF(T_para&gt;0,IF(Lang="Français","Fusée sous parachute","Rocket under parachute"),"")</f>
        <v>Fusée sous parachute</v>
      </c>
      <c r="F108" s="565" t="str">
        <f>IF(Lang="Français","autre",IF(Lang="English","other",""))</f>
        <v>autre</v>
      </c>
    </row>
    <row r="109" spans="2:7" x14ac:dyDescent="0.25">
      <c r="B109" s="1" t="str">
        <f>IF(AND(Nb_sat="1 satellite",T_satellite&gt;0),IF(Lang="Français","Satellite sous parachute","Satellite over parachute"),"")</f>
        <v/>
      </c>
    </row>
    <row r="110" spans="2:7" x14ac:dyDescent="0.25">
      <c r="B110" s="1" t="str">
        <f>IF(Lang="Français","Trajectoire (x z)","Trajectory (x z)")</f>
        <v>Trajectoire (x z)</v>
      </c>
    </row>
    <row r="111" spans="2:7" x14ac:dyDescent="0.25">
      <c r="B111" s="1" t="str">
        <f>IF(Lang="Français","Portée x [m]","Range x [m]")</f>
        <v>Portée x [m]</v>
      </c>
    </row>
    <row r="112" spans="2:7" x14ac:dyDescent="0.25">
      <c r="B112" s="1" t="str">
        <f>IF(Lang="Français","Temps [s]","Time [s]")</f>
        <v>Temps [s]</v>
      </c>
    </row>
    <row r="113" spans="2:3" x14ac:dyDescent="0.25">
      <c r="B113" s="1" t="str">
        <f>IF(Lang="Français","Altitude z  /  Temps","Altitude z  /  Time")</f>
        <v>Altitude z  /  Temps</v>
      </c>
      <c r="C113" s="1">
        <f>IF(OR(C25=F102,C25=F108),C26,C25)</f>
        <v>16</v>
      </c>
    </row>
    <row r="115" spans="2:3" x14ac:dyDescent="0.25">
      <c r="B115" s="1" t="s">
        <v>410</v>
      </c>
    </row>
    <row r="117" spans="2:3" x14ac:dyDescent="0.25">
      <c r="B117" s="35" t="str">
        <f>IF(Lang="Français","Données pour les graphiques :","Data for plots:")</f>
        <v>Données pour les graphiques :</v>
      </c>
      <c r="C117" s="246" t="s">
        <v>48</v>
      </c>
    </row>
    <row r="118" spans="2:3" x14ac:dyDescent="0.25">
      <c r="C118" s="252">
        <f ca="1">MAX(Altitude_culmi,Portee_balistique)</f>
        <v>1415.3356551860206</v>
      </c>
    </row>
    <row r="119" spans="2:3" x14ac:dyDescent="0.25">
      <c r="B119" s="245" t="s">
        <v>48</v>
      </c>
      <c r="C119" s="9"/>
    </row>
    <row r="120" spans="2:3" x14ac:dyDescent="0.25">
      <c r="B120" s="256">
        <f ca="1">MAX(Altitude_culmi,Portee_balistique)</f>
        <v>1415.3356551860206</v>
      </c>
      <c r="C120" s="254" t="s">
        <v>46</v>
      </c>
    </row>
    <row r="121" spans="2:3" x14ac:dyDescent="0.25">
      <c r="B121" s="9"/>
      <c r="C121" s="250">
        <f ca="1">Alt_para</f>
        <v>1407.4995786941179</v>
      </c>
    </row>
    <row r="122" spans="2:3" x14ac:dyDescent="0.25">
      <c r="B122" s="253" t="s">
        <v>50</v>
      </c>
      <c r="C122" s="250">
        <f ca="1">Alt_para/2</f>
        <v>703.74978934705894</v>
      </c>
    </row>
    <row r="123" spans="2:3" x14ac:dyDescent="0.25">
      <c r="B123" s="255">
        <f ca="1">X_para</f>
        <v>509.05322987280238</v>
      </c>
      <c r="C123" s="250">
        <v>0</v>
      </c>
    </row>
    <row r="124" spans="2:3" x14ac:dyDescent="0.25">
      <c r="B124" s="255">
        <f ca="1">X_para</f>
        <v>509.05322987280238</v>
      </c>
      <c r="C124" s="250">
        <f ca="1">Alt_para/20</f>
        <v>70.374978934705894</v>
      </c>
    </row>
    <row r="125" spans="2:3" x14ac:dyDescent="0.25">
      <c r="B125" s="255">
        <f ca="1">X_para</f>
        <v>509.05322987280238</v>
      </c>
      <c r="C125" s="250">
        <v>0</v>
      </c>
    </row>
    <row r="126" spans="2:3" x14ac:dyDescent="0.25">
      <c r="B126" s="255">
        <f ca="1">X_para+Alt_para/40</f>
        <v>544.24071934015535</v>
      </c>
      <c r="C126" s="250">
        <f ca="1">Alt_para/20</f>
        <v>70.374978934705894</v>
      </c>
    </row>
    <row r="127" spans="2:3" x14ac:dyDescent="0.25">
      <c r="B127" s="255">
        <f ca="1">X_para</f>
        <v>509.05322987280238</v>
      </c>
      <c r="C127" s="257">
        <v>0</v>
      </c>
    </row>
    <row r="128" spans="2:3" x14ac:dyDescent="0.25">
      <c r="B128" s="255">
        <f ca="1">X_para-Alt_para/40</f>
        <v>473.8657404054494</v>
      </c>
      <c r="C128" s="246" t="s">
        <v>46</v>
      </c>
    </row>
    <row r="129" spans="2:6" x14ac:dyDescent="0.25">
      <c r="B129" s="256">
        <f ca="1">X_para</f>
        <v>509.05322987280238</v>
      </c>
      <c r="C129" s="250">
        <f ca="1">Alt_para</f>
        <v>1407.4995786941179</v>
      </c>
      <c r="E129" s="274">
        <v>1</v>
      </c>
      <c r="F129" s="275" t="s">
        <v>176</v>
      </c>
    </row>
    <row r="130" spans="2:6" x14ac:dyDescent="0.25">
      <c r="B130" s="245" t="s">
        <v>49</v>
      </c>
      <c r="C130" s="250">
        <f ca="1">(C129+C131)/2</f>
        <v>703.74978934705894</v>
      </c>
      <c r="E130" s="194">
        <v>1</v>
      </c>
      <c r="F130" s="276" t="s">
        <v>177</v>
      </c>
    </row>
    <row r="131" spans="2:6" x14ac:dyDescent="0.25">
      <c r="B131" s="249">
        <f>T_para</f>
        <v>16</v>
      </c>
      <c r="C131" s="250">
        <f>0</f>
        <v>0</v>
      </c>
      <c r="E131" s="194"/>
      <c r="F131" s="283" t="s">
        <v>178</v>
      </c>
    </row>
    <row r="132" spans="2:6" x14ac:dyDescent="0.25">
      <c r="B132" s="249">
        <f ca="1">(B131+B133)/2</f>
        <v>46.495543935329003</v>
      </c>
      <c r="C132" s="250">
        <f ca="1">Alt_para-V_para*(H47-T_para)+E129*sS*Altitude_culmi/H47*zZ_fus+E130*sS/2*Altitude_culmi/H47*tT_fus</f>
        <v>91.365658205941187</v>
      </c>
      <c r="E132" s="277" t="s">
        <v>173</v>
      </c>
      <c r="F132" s="278">
        <f ca="1">T_balistique/10</f>
        <v>3.5600000000000191</v>
      </c>
    </row>
    <row r="133" spans="2:6" x14ac:dyDescent="0.25">
      <c r="B133" s="249">
        <f ca="1">H47</f>
        <v>76.991087870658006</v>
      </c>
      <c r="C133" s="250">
        <f ca="1">Alt_para-V_para*(H47-T_para)</f>
        <v>0</v>
      </c>
      <c r="E133" s="277" t="s">
        <v>174</v>
      </c>
      <c r="F133" s="278">
        <f ca="1">(H47-T_para)/H47</f>
        <v>0.79218373915070051</v>
      </c>
    </row>
    <row r="134" spans="2:6" x14ac:dyDescent="0.25">
      <c r="B134" s="249">
        <f ca="1">H47+E129*sS/2*zZ_fus-E130*sS*tT_fus</f>
        <v>75.950913759281519</v>
      </c>
      <c r="C134" s="250">
        <f ca="1">Alt_para-V_para*(H47-T_para)+E129*sS*Altitude_culmi/H47*zZ_fus-E130*sS/2*Altitude_culmi/H47*tT_fus</f>
        <v>39.522086643875767</v>
      </c>
      <c r="E134" s="279" t="s">
        <v>175</v>
      </c>
      <c r="F134" s="280">
        <f ca="1">V_para*(H47-T_para)/Alt_para</f>
        <v>1</v>
      </c>
    </row>
    <row r="135" spans="2:6" x14ac:dyDescent="0.25">
      <c r="B135" s="249">
        <f ca="1">H47</f>
        <v>76.991087870658006</v>
      </c>
      <c r="C135" s="252">
        <f ca="1">Alt_para-V_para*(H47-T_para)</f>
        <v>0</v>
      </c>
    </row>
    <row r="136" spans="2:6" x14ac:dyDescent="0.25">
      <c r="B136" s="249">
        <f ca="1">H47-E129*sS/2*zZ_fus-E130*sS*tT_fus</f>
        <v>72.390913759281489</v>
      </c>
      <c r="C136" s="3"/>
    </row>
    <row r="137" spans="2:6" x14ac:dyDescent="0.25">
      <c r="B137" s="251">
        <f ca="1">H47</f>
        <v>76.991087870658006</v>
      </c>
      <c r="C137" s="254" t="s">
        <v>47</v>
      </c>
    </row>
    <row r="138" spans="2:6" x14ac:dyDescent="0.25">
      <c r="B138" s="3"/>
      <c r="C138" s="250" t="b">
        <f>IF(Nb_sat="1 satellite",Alt_sat)</f>
        <v>0</v>
      </c>
    </row>
    <row r="139" spans="2:6" x14ac:dyDescent="0.25">
      <c r="B139" s="253" t="s">
        <v>52</v>
      </c>
      <c r="C139" s="250" t="b">
        <f>IF(Nb_sat="1 satellite",Alt_sat*1/4)</f>
        <v>0</v>
      </c>
    </row>
    <row r="140" spans="2:6" x14ac:dyDescent="0.25">
      <c r="B140" s="255" t="b">
        <f>IF(Nb_sat="1 satellite",X_satellite)</f>
        <v>0</v>
      </c>
      <c r="C140" s="250" t="b">
        <f>IF(Nb_sat="1 satellite",0)</f>
        <v>0</v>
      </c>
    </row>
    <row r="141" spans="2:6" x14ac:dyDescent="0.25">
      <c r="B141" s="255" t="b">
        <f>IF(Nb_sat="1 satellite",X_satellite)</f>
        <v>0</v>
      </c>
      <c r="C141" s="250" t="b">
        <f>IF(Nb_sat="1 satellite",Alt_sat/20)</f>
        <v>0</v>
      </c>
    </row>
    <row r="142" spans="2:6" x14ac:dyDescent="0.25">
      <c r="B142" s="255" t="b">
        <f>IF(Nb_sat="1 satellite",X_satellite)</f>
        <v>0</v>
      </c>
      <c r="C142" s="250" t="b">
        <f>IF(Nb_sat="1 satellite",0)</f>
        <v>0</v>
      </c>
    </row>
    <row r="143" spans="2:6" x14ac:dyDescent="0.25">
      <c r="B143" s="255" t="b">
        <f>IF(Nb_sat="1 satellite",X_satellite+Alt_sat/40)</f>
        <v>0</v>
      </c>
      <c r="C143" s="250" t="b">
        <f>IF(Nb_sat="1 satellite",Alt_sat/20)</f>
        <v>0</v>
      </c>
    </row>
    <row r="144" spans="2:6" x14ac:dyDescent="0.25">
      <c r="B144" s="255" t="b">
        <f>IF(Nb_sat="1 satellite",X_satellite)</f>
        <v>0</v>
      </c>
      <c r="C144" s="250" t="b">
        <f>IF(Nb_sat="1 satellite",0)</f>
        <v>0</v>
      </c>
    </row>
    <row r="145" spans="2:6" x14ac:dyDescent="0.25">
      <c r="B145" s="255" t="b">
        <f>IF(Nb_sat="1 satellite",X_satellite-Alt_sat/40)</f>
        <v>0</v>
      </c>
      <c r="C145" s="246" t="s">
        <v>47</v>
      </c>
    </row>
    <row r="146" spans="2:6" x14ac:dyDescent="0.25">
      <c r="B146" s="256" t="b">
        <f>IF(Nb_sat="1 satellite",X_satellite)</f>
        <v>0</v>
      </c>
      <c r="C146" s="250" t="b">
        <f>IF(Nb_sat="1 satellite",Alt_sat)</f>
        <v>0</v>
      </c>
      <c r="D146" s="259"/>
    </row>
    <row r="147" spans="2:6" x14ac:dyDescent="0.25">
      <c r="B147" s="245" t="s">
        <v>51</v>
      </c>
      <c r="C147" s="250">
        <f>(C146+C148)/2</f>
        <v>0</v>
      </c>
      <c r="D147" s="259"/>
    </row>
    <row r="148" spans="2:6" x14ac:dyDescent="0.25">
      <c r="B148" s="249" t="b">
        <f>IF(Nb_sat="1 satellite",T_satellite)</f>
        <v>0</v>
      </c>
      <c r="C148" s="250" t="b">
        <f>IF(Nb_sat="1 satellite",0)</f>
        <v>0</v>
      </c>
    </row>
    <row r="149" spans="2:6" x14ac:dyDescent="0.25">
      <c r="B149" s="249">
        <f>(B148+B150)/2</f>
        <v>0</v>
      </c>
      <c r="C149" s="250" t="b">
        <f>IF(Nb_sat="1 satellite",Alt_sat-V_satellite*(H49-T_satellite)+E129*sS*Altitude_culmi/H49*zZ_sat+E130*sS/2*Altitude_culmi/H49*tT_sat)</f>
        <v>0</v>
      </c>
      <c r="D149" s="259"/>
    </row>
    <row r="150" spans="2:6" x14ac:dyDescent="0.25">
      <c r="B150" s="249" t="b">
        <f>IF(Nb_sat="1 satellite",H49)</f>
        <v>0</v>
      </c>
      <c r="C150" s="250" t="b">
        <f>IF(Nb_sat="1 satellite",0)</f>
        <v>0</v>
      </c>
      <c r="E150" s="281" t="s">
        <v>174</v>
      </c>
      <c r="F150" s="282">
        <f ca="1">(T_balistique-T_satellite)/T_balistique</f>
        <v>0.90168539325842745</v>
      </c>
    </row>
    <row r="151" spans="2:6" x14ac:dyDescent="0.25">
      <c r="B151" s="249" t="b">
        <f>IF(Nb_sat="1 satellite",H49+E129*sS/2*zZ_sat-E130*sS*tT_sat)</f>
        <v>0</v>
      </c>
      <c r="C151" s="250" t="b">
        <f>IF(Nb_sat="1 satellite",Alt_sat-V_satellite*(H49-T_satellite)+E129*sS*Altitude_culmi/H49*zZ_sat-E130*sS/2*Altitude_culmi/H49*tT_sat)</f>
        <v>0</v>
      </c>
      <c r="E151" s="279" t="s">
        <v>175</v>
      </c>
      <c r="F151" s="280">
        <f ca="1">V_satellite*(T_balistique-T_satellite)/Alt_sat</f>
        <v>1.0884786064258898</v>
      </c>
    </row>
    <row r="152" spans="2:6" x14ac:dyDescent="0.25">
      <c r="B152" s="249" t="b">
        <f>IF(Nb_sat="1 satellite",H49)</f>
        <v>0</v>
      </c>
      <c r="C152" s="252" t="b">
        <f>IF(Nb_sat="1 satellite",0)</f>
        <v>0</v>
      </c>
    </row>
    <row r="153" spans="2:6" x14ac:dyDescent="0.25">
      <c r="B153" s="249" t="b">
        <f>IF(Nb_sat="1 satellite",H49-sS/2*zZ_sat-E130*sS*tT_sat)</f>
        <v>0</v>
      </c>
    </row>
    <row r="154" spans="2:6" x14ac:dyDescent="0.25">
      <c r="B154" s="251" t="b">
        <f>IF(Nb_sat="1 satellite",H49)</f>
        <v>0</v>
      </c>
      <c r="C154" s="267" t="s">
        <v>29</v>
      </c>
      <c r="D154" s="246" t="s">
        <v>3</v>
      </c>
    </row>
    <row r="155" spans="2:6" x14ac:dyDescent="0.25">
      <c r="C155" s="272">
        <f ca="1">Alt_para/2</f>
        <v>703.74978934705894</v>
      </c>
      <c r="D155" s="273">
        <f ca="1">X_para/4</f>
        <v>127.26330746820059</v>
      </c>
    </row>
    <row r="156" spans="2:6" x14ac:dyDescent="0.25">
      <c r="B156" s="245" t="s">
        <v>2</v>
      </c>
      <c r="C156" s="269">
        <f ca="1">Altitude_culmi/2</f>
        <v>707.66782759301032</v>
      </c>
      <c r="D156" s="270">
        <f ca="1">X_culmi+(Portee_balistique-X_culmi)*2/3</f>
        <v>854.30121206702029</v>
      </c>
    </row>
    <row r="157" spans="2:6" x14ac:dyDescent="0.25">
      <c r="B157" s="271">
        <f>T_para/4</f>
        <v>4</v>
      </c>
    </row>
    <row r="158" spans="2:6" x14ac:dyDescent="0.25">
      <c r="B158" s="268">
        <f ca="1">Temps_culmi + (T_balistique-Temps_culmi)/2</f>
        <v>26.400000000000063</v>
      </c>
      <c r="C158" s="267" t="s">
        <v>304</v>
      </c>
      <c r="D158" s="484" t="s">
        <v>306</v>
      </c>
      <c r="E158" s="484"/>
      <c r="F158" s="485" t="s">
        <v>306</v>
      </c>
    </row>
    <row r="159" spans="2:6" x14ac:dyDescent="0.25">
      <c r="C159" s="303">
        <v>0</v>
      </c>
      <c r="D159" s="272">
        <f t="shared" ref="D159:D174" ca="1" si="0">X_culmi+C159</f>
        <v>544.80346255917391</v>
      </c>
      <c r="E159" s="272"/>
      <c r="F159" s="273">
        <f t="shared" ref="F159:F174" ca="1" si="1">X_culmi-C159</f>
        <v>544.80346255917391</v>
      </c>
    </row>
    <row r="160" spans="2:6" x14ac:dyDescent="0.25">
      <c r="B160" s="245" t="s">
        <v>305</v>
      </c>
      <c r="C160" s="303">
        <v>23</v>
      </c>
      <c r="D160" s="272">
        <f t="shared" ca="1" si="0"/>
        <v>567.80346255917391</v>
      </c>
      <c r="E160" s="272"/>
      <c r="F160" s="273">
        <f t="shared" ca="1" si="1"/>
        <v>521.80346255917391</v>
      </c>
    </row>
    <row r="161" spans="2:6" x14ac:dyDescent="0.25">
      <c r="B161" s="271" t="e">
        <f ca="1">IF(AND(Altitude_culmi&gt;80, Altitude_culmi&lt;=350), 49, NA())</f>
        <v>#N/A</v>
      </c>
      <c r="C161" s="303">
        <v>23</v>
      </c>
      <c r="D161" s="272">
        <f t="shared" ca="1" si="0"/>
        <v>567.80346255917391</v>
      </c>
      <c r="E161" s="272"/>
      <c r="F161" s="273">
        <f t="shared" ca="1" si="1"/>
        <v>521.80346255917391</v>
      </c>
    </row>
    <row r="162" spans="2:6" x14ac:dyDescent="0.25">
      <c r="B162" s="271" t="e">
        <f ca="1">IF(AND(Altitude_culmi&gt;80, Altitude_culmi&lt;=350), 49, NA())</f>
        <v>#N/A</v>
      </c>
      <c r="C162" s="303">
        <v>0</v>
      </c>
      <c r="D162" s="272">
        <f t="shared" ca="1" si="0"/>
        <v>544.80346255917391</v>
      </c>
      <c r="E162" s="272"/>
      <c r="F162" s="273">
        <f t="shared" ca="1" si="1"/>
        <v>544.80346255917391</v>
      </c>
    </row>
    <row r="163" spans="2:6" x14ac:dyDescent="0.25">
      <c r="B163" s="271" t="e">
        <f ca="1">IF(AND(Altitude_culmi&gt;80, Altitude_culmi&lt;=350), 43, NA())</f>
        <v>#N/A</v>
      </c>
      <c r="C163" s="303">
        <v>23</v>
      </c>
      <c r="D163" s="272">
        <f t="shared" ca="1" si="0"/>
        <v>567.80346255917391</v>
      </c>
      <c r="E163" s="272"/>
      <c r="F163" s="273">
        <f t="shared" ca="1" si="1"/>
        <v>521.80346255917391</v>
      </c>
    </row>
    <row r="164" spans="2:6" x14ac:dyDescent="0.25">
      <c r="B164" s="271" t="e">
        <f ca="1">IF(AND(Altitude_culmi&gt;80, Altitude_culmi&lt;=350), 43, NA())</f>
        <v>#N/A</v>
      </c>
      <c r="C164" s="303">
        <v>23</v>
      </c>
      <c r="D164" s="272">
        <f t="shared" ca="1" si="0"/>
        <v>567.80346255917391</v>
      </c>
      <c r="E164" s="272"/>
      <c r="F164" s="273">
        <f t="shared" ca="1" si="1"/>
        <v>521.80346255917391</v>
      </c>
    </row>
    <row r="165" spans="2:6" x14ac:dyDescent="0.25">
      <c r="B165" s="271" t="e">
        <f ca="1">IF(AND(Altitude_culmi&gt;80, Altitude_culmi&lt;=350), 43, NA())</f>
        <v>#N/A</v>
      </c>
      <c r="C165" s="303">
        <v>8</v>
      </c>
      <c r="D165" s="272">
        <f t="shared" ca="1" si="0"/>
        <v>552.80346255917391</v>
      </c>
      <c r="E165" s="272"/>
      <c r="F165" s="273">
        <f t="shared" ca="1" si="1"/>
        <v>536.80346255917391</v>
      </c>
    </row>
    <row r="166" spans="2:6" x14ac:dyDescent="0.25">
      <c r="B166" s="271" t="e">
        <f ca="1">IF(AND(Altitude_culmi&gt;80, Altitude_culmi&lt;=350), 0.5, NA())</f>
        <v>#N/A</v>
      </c>
      <c r="C166" s="303">
        <v>8</v>
      </c>
      <c r="D166" s="272">
        <f t="shared" ca="1" si="0"/>
        <v>552.80346255917391</v>
      </c>
      <c r="E166" s="272"/>
      <c r="F166" s="273">
        <f t="shared" ca="1" si="1"/>
        <v>536.80346255917391</v>
      </c>
    </row>
    <row r="167" spans="2:6" x14ac:dyDescent="0.25">
      <c r="B167" s="271" t="e">
        <f ca="1">IF(AND(Altitude_culmi&gt;80, Altitude_culmi&lt;=350), 0.5, NA())</f>
        <v>#N/A</v>
      </c>
      <c r="C167" s="303">
        <v>23</v>
      </c>
      <c r="D167" s="272">
        <f t="shared" ca="1" si="0"/>
        <v>567.80346255917391</v>
      </c>
      <c r="E167" s="272"/>
      <c r="F167" s="273">
        <f t="shared" ca="1" si="1"/>
        <v>521.80346255917391</v>
      </c>
    </row>
    <row r="168" spans="2:6" x14ac:dyDescent="0.25">
      <c r="B168" s="271" t="e">
        <f ca="1">IF(AND(Altitude_culmi&gt;80, Altitude_culmi&lt;=350), 27, NA())</f>
        <v>#N/A</v>
      </c>
      <c r="C168" s="303">
        <v>8</v>
      </c>
      <c r="D168" s="272">
        <f t="shared" ca="1" si="0"/>
        <v>552.80346255917391</v>
      </c>
      <c r="E168" s="272"/>
      <c r="F168" s="273">
        <f t="shared" ca="1" si="1"/>
        <v>536.80346255917391</v>
      </c>
    </row>
    <row r="169" spans="2:6" x14ac:dyDescent="0.25">
      <c r="B169" s="271" t="e">
        <f ca="1">IF(AND(Altitude_culmi&gt;80, Altitude_culmi&lt;=350), 27, NA())</f>
        <v>#N/A</v>
      </c>
      <c r="C169" s="303">
        <v>7.6</v>
      </c>
      <c r="D169" s="272">
        <f t="shared" ca="1" si="0"/>
        <v>552.40346255917393</v>
      </c>
      <c r="E169" s="272"/>
      <c r="F169" s="273">
        <f t="shared" ca="1" si="1"/>
        <v>537.20346255917389</v>
      </c>
    </row>
    <row r="170" spans="2:6" x14ac:dyDescent="0.25">
      <c r="B170" s="271" t="e">
        <f ca="1">IF(AND(Altitude_culmi&gt;80, Altitude_culmi&lt;=350), 27, NA())</f>
        <v>#N/A</v>
      </c>
      <c r="C170" s="303">
        <v>6.8</v>
      </c>
      <c r="D170" s="272">
        <f t="shared" ca="1" si="0"/>
        <v>551.60346255917386</v>
      </c>
      <c r="E170" s="272"/>
      <c r="F170" s="273">
        <f t="shared" ca="1" si="1"/>
        <v>538.00346255917395</v>
      </c>
    </row>
    <row r="171" spans="2:6" x14ac:dyDescent="0.25">
      <c r="B171" s="271" t="e">
        <f ca="1">IF(AND(Altitude_culmi&gt;80, Altitude_culmi&lt;=350), 29, NA())</f>
        <v>#N/A</v>
      </c>
      <c r="C171" s="303">
        <v>6</v>
      </c>
      <c r="D171" s="272">
        <f t="shared" ca="1" si="0"/>
        <v>550.80346255917391</v>
      </c>
      <c r="E171" s="272"/>
      <c r="F171" s="273">
        <f t="shared" ca="1" si="1"/>
        <v>538.80346255917391</v>
      </c>
    </row>
    <row r="172" spans="2:6" x14ac:dyDescent="0.25">
      <c r="B172" s="271" t="e">
        <f ca="1">IF(AND(Altitude_culmi&gt;80, Altitude_culmi&lt;=350), 31, NA())</f>
        <v>#N/A</v>
      </c>
      <c r="C172" s="303">
        <v>5</v>
      </c>
      <c r="D172" s="272">
        <f t="shared" ca="1" si="0"/>
        <v>549.80346255917391</v>
      </c>
      <c r="E172" s="272"/>
      <c r="F172" s="273">
        <f t="shared" ca="1" si="1"/>
        <v>539.80346255917391</v>
      </c>
    </row>
    <row r="173" spans="2:6" x14ac:dyDescent="0.25">
      <c r="B173" s="271" t="e">
        <f ca="1">IF(AND(Altitude_culmi&gt;80, Altitude_culmi&lt;=350), 32, NA())</f>
        <v>#N/A</v>
      </c>
      <c r="C173" s="303">
        <v>3.8</v>
      </c>
      <c r="D173" s="272">
        <f t="shared" ca="1" si="0"/>
        <v>548.60346255917386</v>
      </c>
      <c r="E173" s="272"/>
      <c r="F173" s="273">
        <f t="shared" ca="1" si="1"/>
        <v>541.00346255917395</v>
      </c>
    </row>
    <row r="174" spans="2:6" x14ac:dyDescent="0.25">
      <c r="B174" s="271" t="e">
        <f ca="1">IF(AND(Altitude_culmi&gt;80, Altitude_culmi&lt;=350), 33, NA())</f>
        <v>#N/A</v>
      </c>
      <c r="C174" s="482">
        <v>0</v>
      </c>
      <c r="D174" s="483">
        <f t="shared" ca="1" si="0"/>
        <v>544.80346255917391</v>
      </c>
      <c r="E174" s="483"/>
      <c r="F174" s="270">
        <f t="shared" ca="1" si="1"/>
        <v>544.80346255917391</v>
      </c>
    </row>
    <row r="175" spans="2:6" x14ac:dyDescent="0.25">
      <c r="B175" s="271" t="e">
        <f ca="1">IF(AND(Altitude_culmi&gt;80, Altitude_culmi&lt;=350), 34, NA())</f>
        <v>#N/A</v>
      </c>
    </row>
    <row r="176" spans="2:6" x14ac:dyDescent="0.25">
      <c r="B176" s="268" t="e">
        <f ca="1">IF(AND(Altitude_culmi&gt;80, Altitude_culmi&lt;=350), 35, NA())</f>
        <v>#N/A</v>
      </c>
      <c r="C176" s="267" t="s">
        <v>308</v>
      </c>
      <c r="D176" s="486" t="s">
        <v>309</v>
      </c>
      <c r="E176" s="486"/>
      <c r="F176" s="487" t="s">
        <v>309</v>
      </c>
    </row>
    <row r="177" spans="2:6" x14ac:dyDescent="0.25">
      <c r="C177" s="303">
        <v>0</v>
      </c>
      <c r="D177" s="272">
        <f t="shared" ref="D177:D197" ca="1" si="2">X_culmi+C177</f>
        <v>544.80346255917391</v>
      </c>
      <c r="E177" s="272"/>
      <c r="F177" s="273">
        <f t="shared" ref="F177:F197" ca="1" si="3">X_culmi-C177</f>
        <v>544.80346255917391</v>
      </c>
    </row>
    <row r="178" spans="2:6" x14ac:dyDescent="0.25">
      <c r="B178" s="245" t="s">
        <v>307</v>
      </c>
      <c r="C178" s="303">
        <v>0</v>
      </c>
      <c r="D178" s="272">
        <f t="shared" ca="1" si="2"/>
        <v>544.80346255917391</v>
      </c>
      <c r="E178" s="272"/>
      <c r="F178" s="273">
        <f t="shared" ca="1" si="3"/>
        <v>544.80346255917391</v>
      </c>
    </row>
    <row r="179" spans="2:6" x14ac:dyDescent="0.25">
      <c r="B179" s="271">
        <f ca="1">IF(Altitude_culmi&gt;350, 324, NA())</f>
        <v>324</v>
      </c>
      <c r="C179" s="303">
        <v>10</v>
      </c>
      <c r="D179" s="272">
        <f t="shared" ca="1" si="2"/>
        <v>554.80346255917391</v>
      </c>
      <c r="E179" s="272"/>
      <c r="F179" s="273">
        <f t="shared" ca="1" si="3"/>
        <v>534.80346255917391</v>
      </c>
    </row>
    <row r="180" spans="2:6" x14ac:dyDescent="0.25">
      <c r="B180" s="271">
        <f ca="1">IF(Altitude_culmi&gt;350, 300, NA())</f>
        <v>300</v>
      </c>
      <c r="C180" s="303">
        <v>0</v>
      </c>
      <c r="D180" s="272">
        <f t="shared" ca="1" si="2"/>
        <v>544.80346255917391</v>
      </c>
      <c r="E180" s="272"/>
      <c r="F180" s="273">
        <f t="shared" ca="1" si="3"/>
        <v>544.80346255917391</v>
      </c>
    </row>
    <row r="181" spans="2:6" x14ac:dyDescent="0.25">
      <c r="B181" s="271">
        <f ca="1">IF(Altitude_culmi&gt;350, 280, NA())</f>
        <v>280</v>
      </c>
      <c r="C181" s="303">
        <v>10</v>
      </c>
      <c r="D181" s="272">
        <f t="shared" ca="1" si="2"/>
        <v>554.80346255917391</v>
      </c>
      <c r="E181" s="272"/>
      <c r="F181" s="273">
        <f t="shared" ca="1" si="3"/>
        <v>534.80346255917391</v>
      </c>
    </row>
    <row r="182" spans="2:6" x14ac:dyDescent="0.25">
      <c r="B182" s="271">
        <f ca="1">IF(Altitude_culmi&gt;350, 280, NA())</f>
        <v>280</v>
      </c>
      <c r="C182" s="303">
        <v>13</v>
      </c>
      <c r="D182" s="272">
        <f t="shared" ca="1" si="2"/>
        <v>557.80346255917391</v>
      </c>
      <c r="E182" s="272"/>
      <c r="F182" s="273">
        <f t="shared" ca="1" si="3"/>
        <v>531.80346255917391</v>
      </c>
    </row>
    <row r="183" spans="2:6" x14ac:dyDescent="0.25">
      <c r="B183" s="271">
        <f ca="1">IF(Altitude_culmi&gt;350, 280, NA())</f>
        <v>280</v>
      </c>
      <c r="C183" s="303">
        <v>17</v>
      </c>
      <c r="D183" s="272">
        <f t="shared" ca="1" si="2"/>
        <v>561.80346255917391</v>
      </c>
      <c r="E183" s="272"/>
      <c r="F183" s="273">
        <f t="shared" ca="1" si="3"/>
        <v>527.80346255917391</v>
      </c>
    </row>
    <row r="184" spans="2:6" x14ac:dyDescent="0.25">
      <c r="B184" s="271">
        <f ca="1">IF(Altitude_culmi&gt;350, 200, NA())</f>
        <v>200</v>
      </c>
      <c r="C184" s="303">
        <v>20</v>
      </c>
      <c r="D184" s="272">
        <f t="shared" ca="1" si="2"/>
        <v>564.80346255917391</v>
      </c>
      <c r="E184" s="272"/>
      <c r="F184" s="273">
        <f t="shared" ca="1" si="3"/>
        <v>524.80346255917391</v>
      </c>
    </row>
    <row r="185" spans="2:6" x14ac:dyDescent="0.25">
      <c r="B185" s="271">
        <f ca="1">IF(Altitude_culmi&gt;350, 160, NA())</f>
        <v>160</v>
      </c>
      <c r="C185" s="303">
        <v>25</v>
      </c>
      <c r="D185" s="272">
        <f t="shared" ca="1" si="2"/>
        <v>569.80346255917391</v>
      </c>
      <c r="E185" s="272"/>
      <c r="F185" s="273">
        <f t="shared" ca="1" si="3"/>
        <v>519.80346255917391</v>
      </c>
    </row>
    <row r="186" spans="2:6" x14ac:dyDescent="0.25">
      <c r="B186" s="271">
        <f ca="1">IF(Altitude_culmi&gt;350, 115, NA())</f>
        <v>115</v>
      </c>
      <c r="C186" s="303">
        <v>30</v>
      </c>
      <c r="D186" s="272">
        <f t="shared" ca="1" si="2"/>
        <v>574.80346255917391</v>
      </c>
      <c r="E186" s="272"/>
      <c r="F186" s="273">
        <f t="shared" ca="1" si="3"/>
        <v>514.80346255917391</v>
      </c>
    </row>
    <row r="187" spans="2:6" x14ac:dyDescent="0.25">
      <c r="B187" s="271">
        <f ca="1">IF(Altitude_culmi&gt;350, 90, NA())</f>
        <v>90</v>
      </c>
      <c r="C187" s="303">
        <v>36</v>
      </c>
      <c r="D187" s="272">
        <f t="shared" ca="1" si="2"/>
        <v>580.80346255917391</v>
      </c>
      <c r="E187" s="272"/>
      <c r="F187" s="273">
        <f t="shared" ca="1" si="3"/>
        <v>508.80346255917391</v>
      </c>
    </row>
    <row r="188" spans="2:6" x14ac:dyDescent="0.25">
      <c r="B188" s="271">
        <f ca="1">IF(Altitude_culmi&gt;350, 57, NA())</f>
        <v>57</v>
      </c>
      <c r="C188" s="303">
        <v>48</v>
      </c>
      <c r="D188" s="272">
        <f t="shared" ca="1" si="2"/>
        <v>592.80346255917391</v>
      </c>
      <c r="E188" s="272"/>
      <c r="F188" s="273">
        <f t="shared" ca="1" si="3"/>
        <v>496.80346255917391</v>
      </c>
    </row>
    <row r="189" spans="2:6" x14ac:dyDescent="0.25">
      <c r="B189" s="271">
        <f ca="1">IF(Altitude_culmi&gt;350, 40, NA())</f>
        <v>40</v>
      </c>
      <c r="C189" s="303">
        <v>62</v>
      </c>
      <c r="D189" s="272">
        <f t="shared" ca="1" si="2"/>
        <v>606.80346255917391</v>
      </c>
      <c r="E189" s="272"/>
      <c r="F189" s="273">
        <f t="shared" ca="1" si="3"/>
        <v>482.80346255917391</v>
      </c>
    </row>
    <row r="190" spans="2:6" x14ac:dyDescent="0.25">
      <c r="B190" s="271">
        <f ca="1">IF(Altitude_culmi&gt;350, 20, NA())</f>
        <v>20</v>
      </c>
      <c r="C190" s="303">
        <v>37</v>
      </c>
      <c r="D190" s="272">
        <f t="shared" ca="1" si="2"/>
        <v>581.80346255917391</v>
      </c>
      <c r="E190" s="272"/>
      <c r="F190" s="273">
        <f t="shared" ca="1" si="3"/>
        <v>507.80346255917391</v>
      </c>
    </row>
    <row r="191" spans="2:6" x14ac:dyDescent="0.25">
      <c r="B191" s="271">
        <f ca="1">IF(Altitude_culmi&gt;350, 0.5, NA())</f>
        <v>0.5</v>
      </c>
      <c r="C191" s="303">
        <v>30</v>
      </c>
      <c r="D191" s="272">
        <f t="shared" ca="1" si="2"/>
        <v>574.80346255917391</v>
      </c>
      <c r="E191" s="272"/>
      <c r="F191" s="273">
        <f t="shared" ca="1" si="3"/>
        <v>514.80346255917391</v>
      </c>
    </row>
    <row r="192" spans="2:6" x14ac:dyDescent="0.25">
      <c r="B192" s="271">
        <f ca="1">IF(Altitude_culmi&gt;350, 0.5, NA())</f>
        <v>0.5</v>
      </c>
      <c r="C192" s="303">
        <v>15</v>
      </c>
      <c r="D192" s="272">
        <f t="shared" ca="1" si="2"/>
        <v>559.80346255917391</v>
      </c>
      <c r="E192" s="272"/>
      <c r="F192" s="273">
        <f t="shared" ca="1" si="3"/>
        <v>529.80346255917391</v>
      </c>
    </row>
    <row r="193" spans="2:6" x14ac:dyDescent="0.25">
      <c r="B193" s="271">
        <f ca="1">IF(Altitude_culmi&gt;350, 15, NA())</f>
        <v>15</v>
      </c>
      <c r="C193" s="303">
        <v>0</v>
      </c>
      <c r="D193" s="272">
        <f t="shared" ca="1" si="2"/>
        <v>544.80346255917391</v>
      </c>
      <c r="E193" s="272"/>
      <c r="F193" s="273">
        <f t="shared" ca="1" si="3"/>
        <v>544.80346255917391</v>
      </c>
    </row>
    <row r="194" spans="2:6" x14ac:dyDescent="0.25">
      <c r="B194" s="271">
        <f ca="1">IF(Altitude_culmi&gt;350, 30, NA())</f>
        <v>30</v>
      </c>
      <c r="C194" s="303">
        <v>0</v>
      </c>
      <c r="D194" s="272">
        <f t="shared" ca="1" si="2"/>
        <v>544.80346255917391</v>
      </c>
      <c r="E194" s="272"/>
      <c r="F194" s="273">
        <f t="shared" ca="1" si="3"/>
        <v>544.80346255917391</v>
      </c>
    </row>
    <row r="195" spans="2:6" x14ac:dyDescent="0.25">
      <c r="B195" s="271">
        <f ca="1">IF(Altitude_culmi&gt;350, 37, NA())</f>
        <v>37</v>
      </c>
      <c r="C195" s="303">
        <v>17</v>
      </c>
      <c r="D195" s="272">
        <f t="shared" ca="1" si="2"/>
        <v>561.80346255917391</v>
      </c>
      <c r="E195" s="272"/>
      <c r="F195" s="273">
        <f t="shared" ca="1" si="3"/>
        <v>527.80346255917391</v>
      </c>
    </row>
    <row r="196" spans="2:6" x14ac:dyDescent="0.25">
      <c r="B196" s="271">
        <f ca="1">IF(Altitude_culmi&gt;350, 67, NA())</f>
        <v>67</v>
      </c>
      <c r="C196" s="303">
        <v>11</v>
      </c>
      <c r="D196" s="272">
        <f t="shared" ca="1" si="2"/>
        <v>555.80346255917391</v>
      </c>
      <c r="E196" s="272"/>
      <c r="F196" s="273">
        <f t="shared" ca="1" si="3"/>
        <v>533.80346255917391</v>
      </c>
    </row>
    <row r="197" spans="2:6" x14ac:dyDescent="0.25">
      <c r="B197" s="271">
        <f ca="1">IF(Altitude_culmi&gt;350, 67, NA())</f>
        <v>67</v>
      </c>
      <c r="C197" s="482">
        <v>0</v>
      </c>
      <c r="D197" s="483">
        <f t="shared" ca="1" si="2"/>
        <v>544.80346255917391</v>
      </c>
      <c r="E197" s="483"/>
      <c r="F197" s="270">
        <f t="shared" ca="1" si="3"/>
        <v>544.80346255917391</v>
      </c>
    </row>
    <row r="198" spans="2:6" x14ac:dyDescent="0.25">
      <c r="B198" s="271">
        <f ca="1">IF(Altitude_culmi&gt;350, 100, NA())</f>
        <v>100</v>
      </c>
    </row>
    <row r="199" spans="2:6" x14ac:dyDescent="0.25">
      <c r="B199" s="268">
        <f ca="1">IF(Altitude_culmi&gt;350, 100, NA())</f>
        <v>100</v>
      </c>
    </row>
  </sheetData>
  <sheetProtection password="C6AC" sheet="1"/>
  <protectedRanges>
    <protectedRange sqref="C25" name="Plage1"/>
  </protectedRanges>
  <mergeCells count="41">
    <mergeCell ref="F49:G49"/>
    <mergeCell ref="F40:G40"/>
    <mergeCell ref="F41:G41"/>
    <mergeCell ref="F42:G42"/>
    <mergeCell ref="F43:G43"/>
    <mergeCell ref="F48:G48"/>
    <mergeCell ref="F44:G44"/>
    <mergeCell ref="F45:G45"/>
    <mergeCell ref="F47:G47"/>
    <mergeCell ref="F46:G46"/>
    <mergeCell ref="C15:D15"/>
    <mergeCell ref="C10:D10"/>
    <mergeCell ref="C19:D19"/>
    <mergeCell ref="C20:D20"/>
    <mergeCell ref="C11:D11"/>
    <mergeCell ref="C13:D13"/>
    <mergeCell ref="C14:D14"/>
    <mergeCell ref="C18:D18"/>
    <mergeCell ref="C22:D22"/>
    <mergeCell ref="C17:D17"/>
    <mergeCell ref="F23:G23"/>
    <mergeCell ref="F27:G27"/>
    <mergeCell ref="F26:G26"/>
    <mergeCell ref="F24:G24"/>
    <mergeCell ref="F25:G25"/>
    <mergeCell ref="H33:I33"/>
    <mergeCell ref="H32:I32"/>
    <mergeCell ref="F28:G28"/>
    <mergeCell ref="H31:I31"/>
    <mergeCell ref="A38:D38"/>
    <mergeCell ref="H34:I34"/>
    <mergeCell ref="F34:G34"/>
    <mergeCell ref="F33:G33"/>
    <mergeCell ref="F32:G32"/>
    <mergeCell ref="F38:G38"/>
    <mergeCell ref="C2:D3"/>
    <mergeCell ref="C7:D7"/>
    <mergeCell ref="C8:D8"/>
    <mergeCell ref="C9:D9"/>
    <mergeCell ref="C6:D6"/>
    <mergeCell ref="C4:D4"/>
  </mergeCells>
  <phoneticPr fontId="8" type="noConversion"/>
  <conditionalFormatting sqref="C30">
    <cfRule type="cellIs" dxfId="26" priority="42" stopIfTrue="1" operator="notBetween">
      <formula>5</formula>
      <formula>15</formula>
    </cfRule>
  </conditionalFormatting>
  <conditionalFormatting sqref="K23 K41">
    <cfRule type="expression" dxfId="25" priority="44" stopIfTrue="1">
      <formula>AND(Vsortie_de_rampe&lt;18, OR(LEFT(Type_fusee,1)=",",LEFT(Type_fusee,4)="Mini",LEFT(Type_fusee,1)="R"))</formula>
    </cfRule>
    <cfRule type="expression" dxfId="24" priority="45" stopIfTrue="1">
      <formula>AND(Vsortie_de_rampe&lt;20, RIGHT(Type_fusee,1)=".")</formula>
    </cfRule>
  </conditionalFormatting>
  <conditionalFormatting sqref="D30">
    <cfRule type="expression" dxfId="23" priority="40" stopIfTrue="1">
      <formula>Nb_sat="0 satellite"</formula>
    </cfRule>
    <cfRule type="cellIs" dxfId="22" priority="49" stopIfTrue="1" operator="notBetween">
      <formula>5</formula>
      <formula>15</formula>
    </cfRule>
  </conditionalFormatting>
  <conditionalFormatting sqref="H25:M25">
    <cfRule type="expression" dxfId="21" priority="41" stopIfTrue="1">
      <formula>Nb_sat="0 satellite"</formula>
    </cfRule>
  </conditionalFormatting>
  <conditionalFormatting sqref="D24">
    <cfRule type="expression" dxfId="20" priority="39" stopIfTrue="1">
      <formula>Nb_sat="0 satellite"</formula>
    </cfRule>
  </conditionalFormatting>
  <conditionalFormatting sqref="D26:D29 D31:D33">
    <cfRule type="expression" dxfId="19" priority="59" stopIfTrue="1">
      <formula>Nb_sat="0 satellite"</formula>
    </cfRule>
  </conditionalFormatting>
  <conditionalFormatting sqref="K40">
    <cfRule type="expression" dxfId="18" priority="34" stopIfTrue="1">
      <formula>AND( $K$21=0, OR( $I$21&gt;0, $J$21&gt;0 ) )</formula>
    </cfRule>
  </conditionalFormatting>
  <conditionalFormatting sqref="F25">
    <cfRule type="expression" dxfId="17" priority="26" stopIfTrue="1">
      <formula>Nb_sat="0 satellite"</formula>
    </cfRule>
  </conditionalFormatting>
  <conditionalFormatting sqref="F34:I34 F48:M48">
    <cfRule type="expression" dxfId="16" priority="22" stopIfTrue="1">
      <formula>Nb_sat="0 satellite"</formula>
    </cfRule>
  </conditionalFormatting>
  <conditionalFormatting sqref="F49:M49">
    <cfRule type="expression" dxfId="15" priority="21" stopIfTrue="1">
      <formula>Nb_sat="0 satellite"</formula>
    </cfRule>
  </conditionalFormatting>
  <conditionalFormatting sqref="N34">
    <cfRule type="expression" dxfId="14" priority="16" stopIfTrue="1">
      <formula>$N$34="propu NOK"</formula>
    </cfRule>
  </conditionalFormatting>
  <conditionalFormatting sqref="N33">
    <cfRule type="expression" dxfId="13" priority="15" stopIfTrue="1">
      <formula>ROUND(SUM(C23:L34),0)=1914</formula>
    </cfRule>
  </conditionalFormatting>
  <conditionalFormatting sqref="H32:I32">
    <cfRule type="cellIs" dxfId="12" priority="14" stopIfTrue="1" operator="equal">
      <formula>"Brun/Orange…"</formula>
    </cfRule>
  </conditionalFormatting>
  <conditionalFormatting sqref="H33:I33">
    <cfRule type="cellIs" dxfId="11" priority="13" stopIfTrue="1" operator="equal">
      <formula>"Rouge…"</formula>
    </cfRule>
  </conditionalFormatting>
  <conditionalFormatting sqref="J28 J45">
    <cfRule type="expression" dxfId="10" priority="6" stopIfTrue="1">
      <formula>AND(Portee_balistique&gt;200,LEFT(Type_propu,4)="Mini")</formula>
    </cfRule>
  </conditionalFormatting>
  <conditionalFormatting sqref="H27 H46">
    <cfRule type="expression" dxfId="9" priority="4" stopIfTrue="1">
      <formula>ABS(Temps_culmi-T_para)&gt;2</formula>
    </cfRule>
  </conditionalFormatting>
  <conditionalFormatting sqref="B26">
    <cfRule type="expression" dxfId="8" priority="89" stopIfTrue="1">
      <formula>NOT(OR(C25=F108,C25=F102,Nb_sat="1 satellite"))</formula>
    </cfRule>
  </conditionalFormatting>
  <conditionalFormatting sqref="C26">
    <cfRule type="expression" dxfId="7" priority="91" stopIfTrue="1">
      <formula>NOT(OR(C25=F108,C25=F102))</formula>
    </cfRule>
  </conditionalFormatting>
  <conditionalFormatting sqref="D25">
    <cfRule type="expression" dxfId="6" priority="2" stopIfTrue="1">
      <formula>Nb_sat="0 satellite"</formula>
    </cfRule>
  </conditionalFormatting>
  <dataValidations count="14">
    <dataValidation type="decimal" operator="greaterThanOrEqual" showErrorMessage="1" sqref="H40:K40 C29 C26 D26:D27" xr:uid="{00000000-0002-0000-0100-000000000000}">
      <formula1>0</formula1>
    </dataValidation>
    <dataValidation type="list" allowBlank="1" showInputMessage="1" showErrorMessage="1" sqref="H50" xr:uid="{00000000-0002-0000-0100-000001000000}">
      <formula1>gao</formula1>
    </dataValidation>
    <dataValidation operator="greaterThanOrEqual" showErrorMessage="1" sqref="D29 C27" xr:uid="{00000000-0002-0000-0100-000002000000}"/>
    <dataValidation type="decimal" errorStyle="warning" allowBlank="1" showErrorMessage="1" errorTitle="Cx para" error="Le Cx du parachute est souvent compris entre 0 et 2._x000a_Cx of parachute might be between 0 a 2." sqref="C28:D28" xr:uid="{00000000-0002-0000-0100-000003000000}">
      <formula1>0</formula1>
      <formula2>2</formula2>
    </dataValidation>
    <dataValidation sqref="C11:D11" xr:uid="{00000000-0002-0000-0100-000004000000}"/>
    <dataValidation operator="greaterThanOrEqual" sqref="C10:D10" xr:uid="{00000000-0002-0000-0100-000005000000}"/>
    <dataValidation type="decimal" errorStyle="warning" showErrorMessage="1" errorTitle="Cx" error="Le Cx est souvent compris entre 0,3 et 0,7._x000a_Cx may be between 0,3 &amp; 0,7." sqref="C15:D15" xr:uid="{00000000-0002-0000-0100-000006000000}">
      <formula1>0.3</formula1>
      <formula2>0.7</formula2>
    </dataValidation>
    <dataValidation type="decimal" operator="greaterThanOrEqual" allowBlank="1" showErrorMessage="1" sqref="C18:D18"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19:D19" xr:uid="{00000000-0002-0000-0100-000008000000}">
      <formula1>75</formula1>
      <formula2>85</formula2>
    </dataValidation>
    <dataValidation type="whole" operator="greaterThanOrEqual" allowBlank="1" showErrorMessage="1" sqref="C20:D20" xr:uid="{00000000-0002-0000-0100-000009000000}">
      <formula1>0</formula1>
    </dataValidation>
    <dataValidation type="whole" allowBlank="1" showErrorMessage="1" sqref="M40" xr:uid="{00000000-0002-0000-0100-00000A000000}">
      <formula1>-360</formula1>
      <formula2>360</formula2>
    </dataValidation>
    <dataValidation type="list" showInputMessage="1" showErrorMessage="1" sqref="D23" xr:uid="{00000000-0002-0000-0100-00000B000000}">
      <formula1>Menu_sat</formula1>
    </dataValidation>
    <dataValidation type="whole" operator="greaterThanOrEqual" showErrorMessage="1" sqref="B43 B45 B51 B53" xr:uid="{00000000-0002-0000-0100-00000C000000}">
      <formula1>0</formula1>
    </dataValidation>
    <dataValidation type="list" showInputMessage="1" showErrorMessage="1" sqref="C25" xr:uid="{00000000-0002-0000-0100-00000D000000}">
      <formula1>IF(Depotage&lt;&gt;0,IF(LEFT(Type_propu,5)="Micro",$F$108,$F$103:$F$108),$F$102)</formula1>
    </dataValidation>
  </dataValidations>
  <hyperlinks>
    <hyperlink ref="B11"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6:B132 B138:B149 C149 C151 C136:C138 C140:C147 C124:C130" formula="1"/>
    <ignoredError sqref="H44:I44 H47 J44:M44" evalError="1"/>
    <ignoredError sqref="G103:G107" numberStoredAsText="1"/>
    <ignoredError sqref="D24"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22860</xdr:colOff>
                <xdr:row>93</xdr:row>
                <xdr:rowOff>76200</xdr:rowOff>
              </from>
              <to>
                <xdr:col>4</xdr:col>
                <xdr:colOff>68580</xdr:colOff>
                <xdr:row>99</xdr:row>
                <xdr:rowOff>91440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42</xdr:row>
                    <xdr:rowOff>15240</xdr:rowOff>
                  </from>
                  <to>
                    <xdr:col>2</xdr:col>
                    <xdr:colOff>0</xdr:colOff>
                    <xdr:row>43</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44</xdr:row>
                    <xdr:rowOff>15240</xdr:rowOff>
                  </from>
                  <to>
                    <xdr:col>2</xdr:col>
                    <xdr:colOff>0</xdr:colOff>
                    <xdr:row>45</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50</xdr:row>
                    <xdr:rowOff>15240</xdr:rowOff>
                  </from>
                  <to>
                    <xdr:col>2</xdr:col>
                    <xdr:colOff>0</xdr:colOff>
                    <xdr:row>51</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52</xdr:row>
                    <xdr:rowOff>15240</xdr:rowOff>
                  </from>
                  <to>
                    <xdr:col>2</xdr:col>
                    <xdr:colOff>0</xdr:colOff>
                    <xdr:row>53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heetViews>
  <sheetFormatPr baseColWidth="10" defaultRowHeight="13.2" x14ac:dyDescent="0.25"/>
  <sheetData>
    <row r="75" spans="2:2" x14ac:dyDescent="0.25">
      <c r="B75" t="s">
        <v>44</v>
      </c>
    </row>
    <row r="76" spans="2:2" x14ac:dyDescent="0.25">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5">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5">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5">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5">
      <c r="B131" s="35" t="str">
        <f>IF(Lang="Français","Textes pour les graphiques :","Texts for graphics :")</f>
        <v>Textes pour les graphiques :</v>
      </c>
    </row>
    <row r="133" spans="2:2" x14ac:dyDescent="0.25">
      <c r="B133" t="str">
        <f>IF(Lang="Français","Traînée",IF(Lang="English","Drag",""))</f>
        <v>Traînée</v>
      </c>
    </row>
    <row r="134" spans="2:2" x14ac:dyDescent="0.25">
      <c r="B134" t="str">
        <f>IF(Lang="Français","Poussée",IF(Lang="English","Thrust",""))</f>
        <v>Poussée</v>
      </c>
    </row>
    <row r="135" spans="2:2" x14ac:dyDescent="0.25">
      <c r="B135" t="str">
        <f>IF(Lang="Français","Poids",IF(Lang="English","Weight",""))</f>
        <v>Poids</v>
      </c>
    </row>
    <row r="137" spans="2:2" x14ac:dyDescent="0.25">
      <c r="B137" t="str">
        <f>IF(Lang="Français","Accélération longitudinale",IF(Lang="English","Longitudinal Acceleration",""))</f>
        <v>Accélération longitudinale</v>
      </c>
    </row>
    <row r="138" spans="2:2" x14ac:dyDescent="0.25">
      <c r="B138" t="str">
        <f>IF(Lang="Français","Charge vue par un capteur",IF(Lang="English","Load seen by a sensor",""))</f>
        <v>Charge vue par un capteur</v>
      </c>
    </row>
    <row r="140" spans="2:2" x14ac:dyDescent="0.25">
      <c r="B140" t="str">
        <f>IF(Lang="Français","Vitesse",IF(Lang="English","Velocity",""))</f>
        <v>Vitesse</v>
      </c>
    </row>
    <row r="141" spans="2:2" x14ac:dyDescent="0.25">
      <c r="B141" t="str">
        <f>IF(Lang="Français","Vitesse [m/s]",IF(Lang="English","Velocity [m/s]",""))</f>
        <v>Vitesse [m/s]</v>
      </c>
    </row>
    <row r="143" spans="2:2" x14ac:dyDescent="0.25">
      <c r="B143" t="s">
        <v>6</v>
      </c>
    </row>
    <row r="144" spans="2:2" x14ac:dyDescent="0.25">
      <c r="B144" t="str">
        <f>IF(Lang="Français","Portée",IF(Lang="English","Range",""))</f>
        <v>Portée</v>
      </c>
    </row>
    <row r="146" spans="2:2" x14ac:dyDescent="0.25">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K6" sqref="K6"/>
    </sheetView>
  </sheetViews>
  <sheetFormatPr baseColWidth="10" defaultRowHeight="13.2" x14ac:dyDescent="0.25"/>
  <cols>
    <col min="1" max="1" width="22.6640625" bestFit="1" customWidth="1"/>
  </cols>
  <sheetData>
    <row r="1" spans="1:26" ht="13.8" thickBot="1" x14ac:dyDescent="0.3">
      <c r="A1" s="417" t="str">
        <f>IF(Lang="Français","Moteur sélectionné","Selected motor")</f>
        <v>Moteur sélectionné</v>
      </c>
      <c r="B1" s="417" t="s">
        <v>32</v>
      </c>
    </row>
    <row r="2" spans="1:26" ht="13.8" thickBot="1" x14ac:dyDescent="0.3">
      <c r="A2" s="407" t="str">
        <f>Propu</f>
        <v>Barasinga (Pro54-5G C)</v>
      </c>
      <c r="B2" s="407">
        <f>VLOOKUP(A2,A26:B314,2,FALSE)</f>
        <v>279</v>
      </c>
      <c r="C2" s="418" t="s">
        <v>116</v>
      </c>
      <c r="D2" s="408">
        <f ca="1">INDIRECT(ADDRESS(B2,4))</f>
        <v>2058.37</v>
      </c>
      <c r="E2" s="418" t="s">
        <v>115</v>
      </c>
      <c r="F2" s="409">
        <f ca="1">INDIRECT(ADDRESS(B2,6))</f>
        <v>203.12066731598335</v>
      </c>
      <c r="G2" s="418" t="s">
        <v>57</v>
      </c>
      <c r="H2" s="410">
        <f ca="1">INDIRECT(ADDRESS(B2,8))</f>
        <v>1.6850000000000001</v>
      </c>
      <c r="I2" s="418" t="s">
        <v>274</v>
      </c>
      <c r="J2" s="411">
        <f ca="1">INDIRECT(ADDRESS(B2,10))</f>
        <v>1.0329999999999999</v>
      </c>
      <c r="K2" s="418" t="s">
        <v>59</v>
      </c>
      <c r="L2" s="410">
        <f ca="1">INDIRECT(ADDRESS(B2,12))</f>
        <v>0.65200000000000002</v>
      </c>
      <c r="M2" s="418" t="s">
        <v>58</v>
      </c>
      <c r="N2" s="412">
        <f ca="1">INDIRECT(ADDRESS(B2,14))</f>
        <v>250</v>
      </c>
      <c r="O2" s="418" t="s">
        <v>60</v>
      </c>
      <c r="P2" s="412">
        <f ca="1">INDIRECT(ADDRESS(B2,16))</f>
        <v>240</v>
      </c>
      <c r="Q2" s="418" t="s">
        <v>61</v>
      </c>
      <c r="R2" s="412">
        <f ca="1">INDIRECT(ADDRESS(B2,18))</f>
        <v>488</v>
      </c>
      <c r="S2" s="418" t="s">
        <v>62</v>
      </c>
      <c r="T2" s="412">
        <f ca="1">INDIRECT(ADDRESS(B2,20))</f>
        <v>54</v>
      </c>
      <c r="U2" s="418" t="s">
        <v>55</v>
      </c>
      <c r="V2" s="413" t="str">
        <f ca="1">INDIRECT(ADDRESS(B2,22))</f>
        <v>Fusex</v>
      </c>
      <c r="W2" s="547" t="s">
        <v>396</v>
      </c>
      <c r="X2" s="548">
        <f ca="1">INDIRECT(ADDRESS(B2,24))</f>
        <v>0</v>
      </c>
      <c r="Y2" s="547" t="s">
        <v>395</v>
      </c>
      <c r="Z2" s="413">
        <f ca="1">INDIRECT(ADDRESS(B2,26))</f>
        <v>0</v>
      </c>
    </row>
    <row r="3" spans="1:26" x14ac:dyDescent="0.25">
      <c r="A3" s="417" t="str">
        <f>IF(Lang="Français","Temps (en s)","Time (s)")</f>
        <v>Temps (en s)</v>
      </c>
      <c r="B3" s="419">
        <f t="shared" ref="B3:Y3" ca="1" si="0">INDIRECT(ADDRESS($B2+1,COLUMN(B3)))</f>
        <v>0</v>
      </c>
      <c r="C3" s="420">
        <f t="shared" ca="1" si="0"/>
        <v>0.05</v>
      </c>
      <c r="D3" s="420">
        <f t="shared" ca="1" si="0"/>
        <v>0.5</v>
      </c>
      <c r="E3" s="420">
        <f t="shared" ca="1" si="0"/>
        <v>1</v>
      </c>
      <c r="F3" s="420">
        <f t="shared" ca="1" si="0"/>
        <v>1.5</v>
      </c>
      <c r="G3" s="420">
        <f t="shared" ca="1" si="0"/>
        <v>2</v>
      </c>
      <c r="H3" s="420">
        <f t="shared" ca="1" si="0"/>
        <v>2.5</v>
      </c>
      <c r="I3" s="420">
        <f t="shared" ca="1" si="0"/>
        <v>2.97</v>
      </c>
      <c r="J3" s="420">
        <f t="shared" ca="1" si="0"/>
        <v>3.2</v>
      </c>
      <c r="K3" s="420">
        <f t="shared" ca="1" si="0"/>
        <v>3.47</v>
      </c>
      <c r="L3" s="420">
        <f t="shared" ca="1" si="0"/>
        <v>3.59</v>
      </c>
      <c r="M3" s="420">
        <f t="shared" ca="1" si="0"/>
        <v>3.59</v>
      </c>
      <c r="N3" s="420">
        <f t="shared" ca="1" si="0"/>
        <v>3.59</v>
      </c>
      <c r="O3" s="420">
        <f t="shared" ca="1" si="0"/>
        <v>3.59</v>
      </c>
      <c r="P3" s="420">
        <f t="shared" ca="1" si="0"/>
        <v>3.59</v>
      </c>
      <c r="Q3" s="420">
        <f t="shared" ca="1" si="0"/>
        <v>3.59</v>
      </c>
      <c r="R3" s="420">
        <f t="shared" ca="1" si="0"/>
        <v>3.59</v>
      </c>
      <c r="S3" s="420">
        <f t="shared" ca="1" si="0"/>
        <v>3.59</v>
      </c>
      <c r="T3" s="420">
        <f t="shared" ca="1" si="0"/>
        <v>3.59</v>
      </c>
      <c r="U3" s="420">
        <f t="shared" ca="1" si="0"/>
        <v>3.59</v>
      </c>
      <c r="V3" s="420">
        <f t="shared" ca="1" si="0"/>
        <v>3.59</v>
      </c>
      <c r="W3" s="420">
        <f t="shared" ca="1" si="0"/>
        <v>3.59</v>
      </c>
      <c r="X3" s="420">
        <f ca="1">INDIRECT(ADDRESS($B2+1,COLUMN(X3)))</f>
        <v>3.59</v>
      </c>
      <c r="Y3" s="421">
        <f t="shared" ca="1" si="0"/>
        <v>1000</v>
      </c>
    </row>
    <row r="4" spans="1:26" ht="13.8" thickBot="1" x14ac:dyDescent="0.3">
      <c r="A4" s="435" t="str">
        <f>IF(Lang="Français","Poussée (en N)","Thrust (N)")</f>
        <v>Poussée (en N)</v>
      </c>
      <c r="B4" s="422">
        <f t="shared" ref="B4:Y4" ca="1" si="1">INDIRECT(ADDRESS($B2+2,COLUMN(B3)))</f>
        <v>0</v>
      </c>
      <c r="C4" s="423">
        <f t="shared" ca="1" si="1"/>
        <v>893</v>
      </c>
      <c r="D4" s="423">
        <f t="shared" ca="1" si="1"/>
        <v>798</v>
      </c>
      <c r="E4" s="423">
        <f t="shared" ca="1" si="1"/>
        <v>739</v>
      </c>
      <c r="F4" s="423">
        <f t="shared" ca="1" si="1"/>
        <v>659</v>
      </c>
      <c r="G4" s="423">
        <f t="shared" ca="1" si="1"/>
        <v>586</v>
      </c>
      <c r="H4" s="423">
        <f t="shared" ca="1" si="1"/>
        <v>513</v>
      </c>
      <c r="I4" s="423">
        <f t="shared" ca="1" si="1"/>
        <v>417</v>
      </c>
      <c r="J4" s="423">
        <f t="shared" ca="1" si="1"/>
        <v>225</v>
      </c>
      <c r="K4" s="423">
        <f t="shared" ca="1" si="1"/>
        <v>67</v>
      </c>
      <c r="L4" s="423">
        <f t="shared" ca="1" si="1"/>
        <v>0</v>
      </c>
      <c r="M4" s="423">
        <f t="shared" ca="1" si="1"/>
        <v>0</v>
      </c>
      <c r="N4" s="423">
        <f t="shared" ca="1" si="1"/>
        <v>0</v>
      </c>
      <c r="O4" s="423">
        <f t="shared" ca="1" si="1"/>
        <v>0</v>
      </c>
      <c r="P4" s="423">
        <f t="shared" ca="1" si="1"/>
        <v>0</v>
      </c>
      <c r="Q4" s="423">
        <f t="shared" ca="1" si="1"/>
        <v>0</v>
      </c>
      <c r="R4" s="423">
        <f t="shared" ca="1" si="1"/>
        <v>0</v>
      </c>
      <c r="S4" s="423">
        <f t="shared" ca="1" si="1"/>
        <v>0</v>
      </c>
      <c r="T4" s="423">
        <f t="shared" ca="1" si="1"/>
        <v>0</v>
      </c>
      <c r="U4" s="423">
        <f t="shared" ca="1" si="1"/>
        <v>0</v>
      </c>
      <c r="V4" s="423">
        <f t="shared" ca="1" si="1"/>
        <v>0</v>
      </c>
      <c r="W4" s="423">
        <f t="shared" ca="1" si="1"/>
        <v>0</v>
      </c>
      <c r="X4" s="423">
        <f ca="1">INDIRECT(ADDRESS($B2+2,COLUMN(X3)))</f>
        <v>0</v>
      </c>
      <c r="Y4" s="424">
        <f t="shared" ca="1" si="1"/>
        <v>0</v>
      </c>
    </row>
    <row r="5" spans="1:26" x14ac:dyDescent="0.25">
      <c r="B5" s="17"/>
      <c r="C5" s="17"/>
      <c r="D5" s="17"/>
      <c r="E5" s="17"/>
      <c r="F5" s="17"/>
      <c r="G5" s="17"/>
      <c r="H5" s="17"/>
      <c r="I5" s="17"/>
      <c r="J5" s="17"/>
      <c r="K5" s="17"/>
      <c r="L5" s="17"/>
      <c r="M5" s="17"/>
      <c r="N5" s="17"/>
      <c r="O5" s="17"/>
      <c r="P5" s="17"/>
      <c r="Q5" s="17"/>
      <c r="R5" s="17"/>
      <c r="S5" s="17"/>
      <c r="T5" s="17"/>
      <c r="U5" s="17"/>
      <c r="V5" s="17"/>
      <c r="W5" s="17"/>
      <c r="X5" s="17"/>
      <c r="Y5" s="17"/>
    </row>
    <row r="6" spans="1:26" x14ac:dyDescent="0.25">
      <c r="B6" s="17"/>
      <c r="C6" s="17"/>
      <c r="D6" s="17"/>
      <c r="E6" s="17"/>
      <c r="F6" s="17"/>
      <c r="G6" s="17"/>
      <c r="H6" s="17"/>
      <c r="I6" s="17"/>
      <c r="J6" s="17"/>
      <c r="K6" s="17"/>
      <c r="L6" s="17"/>
      <c r="M6" s="17"/>
      <c r="N6" s="17"/>
      <c r="O6" s="17"/>
      <c r="P6" s="17"/>
      <c r="Q6" s="17"/>
      <c r="R6" s="17"/>
      <c r="S6" s="17"/>
      <c r="T6" s="17"/>
      <c r="U6" s="17"/>
      <c r="V6" s="17"/>
      <c r="W6" s="17"/>
      <c r="X6" s="17"/>
      <c r="Y6" s="17"/>
    </row>
    <row r="7" spans="1:26" x14ac:dyDescent="0.25">
      <c r="B7" s="17"/>
      <c r="C7" s="17"/>
      <c r="D7" s="17"/>
      <c r="E7" s="17"/>
      <c r="F7" s="17"/>
      <c r="G7" s="17"/>
      <c r="H7" s="17"/>
      <c r="I7" s="17"/>
      <c r="J7" s="17"/>
      <c r="K7" s="17"/>
      <c r="L7" s="17"/>
      <c r="M7" s="17"/>
    </row>
    <row r="8" spans="1:26" x14ac:dyDescent="0.25">
      <c r="B8" s="17"/>
      <c r="C8" s="17"/>
      <c r="D8" s="17"/>
      <c r="E8" s="17"/>
      <c r="F8" s="17"/>
      <c r="G8" s="17"/>
      <c r="H8" s="17"/>
      <c r="I8" s="17"/>
      <c r="J8" s="17"/>
      <c r="K8" s="17"/>
      <c r="L8" s="17"/>
      <c r="M8" s="17"/>
    </row>
    <row r="9" spans="1:26" x14ac:dyDescent="0.25">
      <c r="B9" s="17"/>
      <c r="C9" s="17"/>
      <c r="D9" s="17"/>
      <c r="E9" s="17"/>
      <c r="F9" s="17"/>
      <c r="G9" s="17"/>
      <c r="H9" s="17"/>
      <c r="I9" s="17"/>
      <c r="J9" s="17"/>
      <c r="K9" s="17"/>
      <c r="L9" s="17"/>
      <c r="M9" s="17"/>
    </row>
    <row r="10" spans="1:26" x14ac:dyDescent="0.25">
      <c r="B10" s="17"/>
      <c r="C10" s="17"/>
      <c r="D10" s="17"/>
      <c r="E10" s="17"/>
      <c r="F10" s="17"/>
      <c r="G10" s="17"/>
      <c r="H10" s="17"/>
      <c r="I10" s="17"/>
      <c r="J10" s="17"/>
    </row>
    <row r="11" spans="1:26" x14ac:dyDescent="0.25">
      <c r="B11" s="17"/>
      <c r="C11" s="17"/>
      <c r="D11" s="17"/>
      <c r="E11" s="17"/>
      <c r="F11" s="17"/>
      <c r="G11" s="17"/>
      <c r="H11" s="17"/>
      <c r="I11" s="17"/>
      <c r="J11" s="17"/>
    </row>
    <row r="12" spans="1:26" x14ac:dyDescent="0.25">
      <c r="B12" s="17"/>
      <c r="C12" s="17"/>
      <c r="D12" s="17"/>
      <c r="E12" s="17"/>
      <c r="F12" s="17"/>
      <c r="G12" s="17"/>
      <c r="H12" s="17"/>
      <c r="I12" s="17"/>
      <c r="J12" s="17"/>
    </row>
    <row r="13" spans="1:26" x14ac:dyDescent="0.25">
      <c r="B13" s="17"/>
      <c r="C13" s="17"/>
      <c r="D13" s="17"/>
      <c r="E13" s="17"/>
      <c r="F13" s="17"/>
      <c r="G13" s="17"/>
      <c r="H13" s="17"/>
      <c r="I13" s="17"/>
      <c r="J13" s="17"/>
    </row>
    <row r="14" spans="1:26" x14ac:dyDescent="0.25">
      <c r="B14" s="17"/>
      <c r="C14" s="17"/>
      <c r="D14" s="17"/>
      <c r="E14" s="17"/>
      <c r="F14" s="17"/>
      <c r="G14" s="17"/>
      <c r="H14" s="17"/>
      <c r="I14" s="17"/>
      <c r="J14" s="17"/>
    </row>
    <row r="15" spans="1:26" x14ac:dyDescent="0.25">
      <c r="B15" s="17"/>
      <c r="C15" s="17"/>
      <c r="D15" s="17"/>
      <c r="E15" s="17"/>
      <c r="F15" s="17"/>
      <c r="G15" s="17"/>
      <c r="H15" s="17"/>
      <c r="I15" s="17"/>
      <c r="J15" s="17"/>
      <c r="K15" s="17"/>
      <c r="L15" s="17"/>
      <c r="M15" s="17"/>
    </row>
    <row r="16" spans="1:26" x14ac:dyDescent="0.25">
      <c r="B16" s="17"/>
      <c r="C16" s="17"/>
      <c r="D16" s="17"/>
      <c r="E16" s="17"/>
      <c r="F16" s="17"/>
      <c r="G16" s="17"/>
      <c r="H16" s="17"/>
      <c r="I16" s="17"/>
      <c r="J16" s="17"/>
      <c r="K16" s="17"/>
      <c r="L16" s="17"/>
      <c r="M16" s="17"/>
    </row>
    <row r="17" spans="1:25" x14ac:dyDescent="0.25">
      <c r="B17" s="17"/>
      <c r="C17" s="17"/>
      <c r="D17" s="17"/>
      <c r="E17" s="17"/>
      <c r="F17" s="17"/>
      <c r="G17" s="17"/>
      <c r="H17" s="17"/>
      <c r="I17" s="17"/>
      <c r="J17" s="17"/>
      <c r="K17" s="17"/>
      <c r="L17" s="17"/>
      <c r="M17" s="17"/>
    </row>
    <row r="18" spans="1:25" x14ac:dyDescent="0.25">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x14ac:dyDescent="0.25">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x14ac:dyDescent="0.25">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x14ac:dyDescent="0.25">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x14ac:dyDescent="0.25">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x14ac:dyDescent="0.25">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ht="13.8" thickBot="1" x14ac:dyDescent="0.3">
      <c r="A25" s="492" t="s">
        <v>277</v>
      </c>
    </row>
    <row r="26" spans="1:25" ht="13.8" thickBot="1" x14ac:dyDescent="0.3">
      <c r="A26" s="416" t="s">
        <v>310</v>
      </c>
      <c r="B26" s="414">
        <f>ROW(A26)</f>
        <v>26</v>
      </c>
      <c r="C26" s="418" t="s">
        <v>116</v>
      </c>
      <c r="D26" s="408">
        <f>SUM(B29:Y29)</f>
        <v>9.8449999999999989</v>
      </c>
      <c r="E26" s="418" t="s">
        <v>115</v>
      </c>
      <c r="F26" s="460">
        <f>D26/g/J26</f>
        <v>3.3452259599048584</v>
      </c>
      <c r="G26" s="418" t="s">
        <v>57</v>
      </c>
      <c r="H26" s="86">
        <v>0.3</v>
      </c>
      <c r="I26" s="418" t="s">
        <v>272</v>
      </c>
      <c r="J26" s="410">
        <f>H26-L26</f>
        <v>0.3</v>
      </c>
      <c r="K26" s="418" t="s">
        <v>273</v>
      </c>
      <c r="L26" s="86">
        <v>0</v>
      </c>
      <c r="M26" s="418" t="s">
        <v>58</v>
      </c>
      <c r="N26" s="87">
        <f>0.2*R26</f>
        <v>60</v>
      </c>
      <c r="O26" s="418" t="s">
        <v>60</v>
      </c>
      <c r="P26" s="87">
        <v>150</v>
      </c>
      <c r="Q26" s="418" t="s">
        <v>61</v>
      </c>
      <c r="R26" s="87">
        <v>300</v>
      </c>
      <c r="S26" s="418" t="s">
        <v>62</v>
      </c>
      <c r="T26" s="87">
        <v>90</v>
      </c>
      <c r="U26" s="418" t="s">
        <v>55</v>
      </c>
      <c r="V26" s="88" t="s">
        <v>277</v>
      </c>
      <c r="W26" s="17"/>
      <c r="X26" s="17"/>
      <c r="Y26" s="17"/>
    </row>
    <row r="27" spans="1:25" x14ac:dyDescent="0.25">
      <c r="A27" s="417" t="s">
        <v>33</v>
      </c>
      <c r="B27" s="425">
        <v>0</v>
      </c>
      <c r="C27" s="426">
        <v>1E-3</v>
      </c>
      <c r="D27" s="426">
        <v>0.02</v>
      </c>
      <c r="E27" s="426">
        <v>3.7999999999999999E-2</v>
      </c>
      <c r="F27" s="426">
        <v>0.04</v>
      </c>
      <c r="G27" s="426">
        <v>0.04</v>
      </c>
      <c r="H27" s="426">
        <v>0.04</v>
      </c>
      <c r="I27" s="426">
        <v>0.04</v>
      </c>
      <c r="J27" s="426">
        <v>0.04</v>
      </c>
      <c r="K27" s="426">
        <v>0.04</v>
      </c>
      <c r="L27" s="426">
        <v>0.04</v>
      </c>
      <c r="M27" s="426">
        <v>0.04</v>
      </c>
      <c r="N27" s="426">
        <v>0.04</v>
      </c>
      <c r="O27" s="426">
        <v>0.04</v>
      </c>
      <c r="P27" s="426">
        <v>0.04</v>
      </c>
      <c r="Q27" s="426">
        <v>0.04</v>
      </c>
      <c r="R27" s="426">
        <v>0.04</v>
      </c>
      <c r="S27" s="426">
        <v>0.04</v>
      </c>
      <c r="T27" s="426">
        <v>0.04</v>
      </c>
      <c r="U27" s="426">
        <v>0.04</v>
      </c>
      <c r="V27" s="426">
        <v>0.04</v>
      </c>
      <c r="W27" s="426">
        <v>0.04</v>
      </c>
      <c r="X27" s="426">
        <v>0.04</v>
      </c>
      <c r="Y27" s="437">
        <v>1000</v>
      </c>
    </row>
    <row r="28" spans="1:25" x14ac:dyDescent="0.25">
      <c r="A28" s="434" t="s">
        <v>34</v>
      </c>
      <c r="B28" s="427">
        <v>0</v>
      </c>
      <c r="C28" s="428">
        <v>310</v>
      </c>
      <c r="D28" s="428">
        <v>250</v>
      </c>
      <c r="E28" s="428">
        <v>212</v>
      </c>
      <c r="F28" s="428">
        <v>0</v>
      </c>
      <c r="G28" s="428">
        <v>0</v>
      </c>
      <c r="H28" s="428">
        <v>0</v>
      </c>
      <c r="I28" s="428">
        <v>0</v>
      </c>
      <c r="J28" s="428">
        <v>0</v>
      </c>
      <c r="K28" s="428">
        <v>0</v>
      </c>
      <c r="L28" s="428">
        <v>0</v>
      </c>
      <c r="M28" s="428">
        <v>0</v>
      </c>
      <c r="N28" s="428">
        <v>0</v>
      </c>
      <c r="O28" s="428">
        <v>0</v>
      </c>
      <c r="P28" s="428">
        <v>0</v>
      </c>
      <c r="Q28" s="428">
        <v>0</v>
      </c>
      <c r="R28" s="428">
        <v>0</v>
      </c>
      <c r="S28" s="428">
        <v>0</v>
      </c>
      <c r="T28" s="428">
        <v>0</v>
      </c>
      <c r="U28" s="428">
        <v>0</v>
      </c>
      <c r="V28" s="428">
        <v>0</v>
      </c>
      <c r="W28" s="428">
        <v>0</v>
      </c>
      <c r="X28" s="428">
        <v>0</v>
      </c>
      <c r="Y28" s="438">
        <v>0</v>
      </c>
    </row>
    <row r="29" spans="1:25" ht="13.8" thickBot="1" x14ac:dyDescent="0.3">
      <c r="A29" s="435" t="s">
        <v>117</v>
      </c>
      <c r="B29" s="429">
        <f t="shared" ref="B29:X29" si="2">(C28+B28)*(C27-B27)/2</f>
        <v>0.155</v>
      </c>
      <c r="C29" s="430">
        <f t="shared" si="2"/>
        <v>5.32</v>
      </c>
      <c r="D29" s="430">
        <f t="shared" si="2"/>
        <v>4.1579999999999995</v>
      </c>
      <c r="E29" s="430">
        <f t="shared" si="2"/>
        <v>0.21200000000000019</v>
      </c>
      <c r="F29" s="430">
        <f t="shared" si="2"/>
        <v>0</v>
      </c>
      <c r="G29" s="430">
        <f t="shared" si="2"/>
        <v>0</v>
      </c>
      <c r="H29" s="430">
        <f t="shared" si="2"/>
        <v>0</v>
      </c>
      <c r="I29" s="430">
        <f t="shared" si="2"/>
        <v>0</v>
      </c>
      <c r="J29" s="430">
        <f t="shared" si="2"/>
        <v>0</v>
      </c>
      <c r="K29" s="430">
        <f t="shared" si="2"/>
        <v>0</v>
      </c>
      <c r="L29" s="430">
        <f t="shared" si="2"/>
        <v>0</v>
      </c>
      <c r="M29" s="430">
        <f t="shared" si="2"/>
        <v>0</v>
      </c>
      <c r="N29" s="430">
        <f t="shared" si="2"/>
        <v>0</v>
      </c>
      <c r="O29" s="430">
        <f t="shared" si="2"/>
        <v>0</v>
      </c>
      <c r="P29" s="430">
        <f t="shared" si="2"/>
        <v>0</v>
      </c>
      <c r="Q29" s="430">
        <f t="shared" si="2"/>
        <v>0</v>
      </c>
      <c r="R29" s="430">
        <f t="shared" si="2"/>
        <v>0</v>
      </c>
      <c r="S29" s="430">
        <f t="shared" si="2"/>
        <v>0</v>
      </c>
      <c r="T29" s="430">
        <f t="shared" si="2"/>
        <v>0</v>
      </c>
      <c r="U29" s="430">
        <f t="shared" si="2"/>
        <v>0</v>
      </c>
      <c r="V29" s="430">
        <f t="shared" si="2"/>
        <v>0</v>
      </c>
      <c r="W29" s="430">
        <f t="shared" si="2"/>
        <v>0</v>
      </c>
      <c r="X29" s="430">
        <f t="shared" si="2"/>
        <v>0</v>
      </c>
      <c r="Y29" s="424"/>
    </row>
    <row r="30" spans="1:25" ht="13.8" thickBot="1" x14ac:dyDescent="0.3">
      <c r="A30" s="17"/>
      <c r="L30" s="17"/>
      <c r="M30" s="17"/>
      <c r="N30" s="17"/>
      <c r="O30" s="17"/>
      <c r="P30" s="17"/>
      <c r="Q30" s="17"/>
      <c r="R30" s="17"/>
      <c r="S30" s="17"/>
      <c r="T30" s="17"/>
      <c r="U30" s="17"/>
      <c r="V30" s="17"/>
      <c r="W30" s="17"/>
      <c r="X30" s="17"/>
      <c r="Y30" s="17"/>
    </row>
    <row r="31" spans="1:25" ht="13.8" thickBot="1" x14ac:dyDescent="0.3">
      <c r="A31" s="416" t="s">
        <v>311</v>
      </c>
      <c r="B31" s="414">
        <f>ROW(A31)</f>
        <v>31</v>
      </c>
      <c r="C31" s="418" t="s">
        <v>116</v>
      </c>
      <c r="D31" s="408">
        <f>SUM(B34:Y34)</f>
        <v>13.814500000000002</v>
      </c>
      <c r="E31" s="418" t="s">
        <v>115</v>
      </c>
      <c r="F31" s="460">
        <f>D31/g/J31</f>
        <v>3.1293464718541175</v>
      </c>
      <c r="G31" s="418" t="s">
        <v>57</v>
      </c>
      <c r="H31" s="86">
        <v>0.45</v>
      </c>
      <c r="I31" s="418" t="s">
        <v>272</v>
      </c>
      <c r="J31" s="410">
        <f>H31-L31</f>
        <v>0.45</v>
      </c>
      <c r="K31" s="418" t="s">
        <v>273</v>
      </c>
      <c r="L31" s="86">
        <v>0</v>
      </c>
      <c r="M31" s="418" t="s">
        <v>58</v>
      </c>
      <c r="N31" s="87">
        <f>0.3*R31</f>
        <v>90</v>
      </c>
      <c r="O31" s="418" t="s">
        <v>60</v>
      </c>
      <c r="P31" s="87">
        <v>150</v>
      </c>
      <c r="Q31" s="418" t="s">
        <v>61</v>
      </c>
      <c r="R31" s="87">
        <v>300</v>
      </c>
      <c r="S31" s="418" t="s">
        <v>62</v>
      </c>
      <c r="T31" s="87">
        <v>90</v>
      </c>
      <c r="U31" s="418" t="s">
        <v>55</v>
      </c>
      <c r="V31" s="88" t="s">
        <v>277</v>
      </c>
      <c r="W31" s="17"/>
      <c r="X31" s="17"/>
      <c r="Y31" s="17"/>
    </row>
    <row r="32" spans="1:25" x14ac:dyDescent="0.25">
      <c r="A32" s="417" t="s">
        <v>33</v>
      </c>
      <c r="B32" s="425">
        <v>0</v>
      </c>
      <c r="C32" s="426">
        <v>1E-3</v>
      </c>
      <c r="D32" s="426">
        <v>0.02</v>
      </c>
      <c r="E32" s="426">
        <v>0.04</v>
      </c>
      <c r="F32" s="426">
        <v>6.0999999999999999E-2</v>
      </c>
      <c r="G32" s="426">
        <v>6.2E-2</v>
      </c>
      <c r="H32" s="426">
        <v>6.2E-2</v>
      </c>
      <c r="I32" s="426">
        <v>6.2E-2</v>
      </c>
      <c r="J32" s="426">
        <v>6.2E-2</v>
      </c>
      <c r="K32" s="426">
        <v>6.2E-2</v>
      </c>
      <c r="L32" s="426">
        <v>6.2E-2</v>
      </c>
      <c r="M32" s="426">
        <v>6.2E-2</v>
      </c>
      <c r="N32" s="426">
        <v>6.2E-2</v>
      </c>
      <c r="O32" s="426">
        <v>6.2E-2</v>
      </c>
      <c r="P32" s="426">
        <v>6.2E-2</v>
      </c>
      <c r="Q32" s="426">
        <v>6.2E-2</v>
      </c>
      <c r="R32" s="426">
        <v>6.2E-2</v>
      </c>
      <c r="S32" s="426">
        <v>6.2E-2</v>
      </c>
      <c r="T32" s="426">
        <v>6.2E-2</v>
      </c>
      <c r="U32" s="426">
        <v>6.2E-2</v>
      </c>
      <c r="V32" s="426">
        <v>6.2E-2</v>
      </c>
      <c r="W32" s="426">
        <v>6.2E-2</v>
      </c>
      <c r="X32" s="426">
        <v>6.2E-2</v>
      </c>
      <c r="Y32" s="437">
        <v>1000</v>
      </c>
    </row>
    <row r="33" spans="1:25" x14ac:dyDescent="0.25">
      <c r="A33" s="434" t="s">
        <v>34</v>
      </c>
      <c r="B33" s="427">
        <v>0</v>
      </c>
      <c r="C33" s="428">
        <v>310</v>
      </c>
      <c r="D33" s="428">
        <v>245</v>
      </c>
      <c r="E33" s="428">
        <v>200</v>
      </c>
      <c r="F33" s="428">
        <v>167</v>
      </c>
      <c r="G33" s="428">
        <v>0</v>
      </c>
      <c r="H33" s="428">
        <v>0</v>
      </c>
      <c r="I33" s="428">
        <v>0</v>
      </c>
      <c r="J33" s="428">
        <v>0</v>
      </c>
      <c r="K33" s="428">
        <v>0</v>
      </c>
      <c r="L33" s="428">
        <v>0</v>
      </c>
      <c r="M33" s="428">
        <v>0</v>
      </c>
      <c r="N33" s="428">
        <v>0</v>
      </c>
      <c r="O33" s="428">
        <v>0</v>
      </c>
      <c r="P33" s="428">
        <v>0</v>
      </c>
      <c r="Q33" s="428">
        <v>0</v>
      </c>
      <c r="R33" s="428">
        <v>0</v>
      </c>
      <c r="S33" s="428">
        <v>0</v>
      </c>
      <c r="T33" s="428">
        <v>0</v>
      </c>
      <c r="U33" s="428">
        <v>0</v>
      </c>
      <c r="V33" s="428">
        <v>0</v>
      </c>
      <c r="W33" s="428">
        <v>0</v>
      </c>
      <c r="X33" s="428">
        <v>0</v>
      </c>
      <c r="Y33" s="438">
        <v>0</v>
      </c>
    </row>
    <row r="34" spans="1:25" ht="13.8" thickBot="1" x14ac:dyDescent="0.3">
      <c r="A34" s="435" t="s">
        <v>117</v>
      </c>
      <c r="B34" s="429">
        <f t="shared" ref="B34:X34" si="3">(C33+B33)*(C32-B32)/2</f>
        <v>0.155</v>
      </c>
      <c r="C34" s="430">
        <f t="shared" si="3"/>
        <v>5.2725</v>
      </c>
      <c r="D34" s="430">
        <f t="shared" si="3"/>
        <v>4.45</v>
      </c>
      <c r="E34" s="430">
        <f t="shared" si="3"/>
        <v>3.8534999999999995</v>
      </c>
      <c r="F34" s="430">
        <f t="shared" si="3"/>
        <v>8.3500000000000074E-2</v>
      </c>
      <c r="G34" s="430">
        <f t="shared" si="3"/>
        <v>0</v>
      </c>
      <c r="H34" s="430">
        <f t="shared" si="3"/>
        <v>0</v>
      </c>
      <c r="I34" s="430">
        <f t="shared" si="3"/>
        <v>0</v>
      </c>
      <c r="J34" s="430">
        <f t="shared" si="3"/>
        <v>0</v>
      </c>
      <c r="K34" s="430">
        <f t="shared" si="3"/>
        <v>0</v>
      </c>
      <c r="L34" s="430">
        <f t="shared" si="3"/>
        <v>0</v>
      </c>
      <c r="M34" s="430">
        <f t="shared" si="3"/>
        <v>0</v>
      </c>
      <c r="N34" s="430">
        <f t="shared" si="3"/>
        <v>0</v>
      </c>
      <c r="O34" s="430">
        <f t="shared" si="3"/>
        <v>0</v>
      </c>
      <c r="P34" s="430">
        <f t="shared" si="3"/>
        <v>0</v>
      </c>
      <c r="Q34" s="430">
        <f t="shared" si="3"/>
        <v>0</v>
      </c>
      <c r="R34" s="430">
        <f t="shared" si="3"/>
        <v>0</v>
      </c>
      <c r="S34" s="430">
        <f t="shared" si="3"/>
        <v>0</v>
      </c>
      <c r="T34" s="430">
        <f t="shared" si="3"/>
        <v>0</v>
      </c>
      <c r="U34" s="430">
        <f t="shared" si="3"/>
        <v>0</v>
      </c>
      <c r="V34" s="430">
        <f t="shared" si="3"/>
        <v>0</v>
      </c>
      <c r="W34" s="430">
        <f t="shared" si="3"/>
        <v>0</v>
      </c>
      <c r="X34" s="430">
        <f t="shared" si="3"/>
        <v>0</v>
      </c>
      <c r="Y34" s="424"/>
    </row>
    <row r="35" spans="1:25" ht="13.8" thickBot="1" x14ac:dyDescent="0.3">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3.8" thickBot="1" x14ac:dyDescent="0.3">
      <c r="A36" s="416" t="s">
        <v>312</v>
      </c>
      <c r="B36" s="414">
        <f>ROW(A36)</f>
        <v>36</v>
      </c>
      <c r="C36" s="418" t="s">
        <v>116</v>
      </c>
      <c r="D36" s="408">
        <f>SUM(B39:Y39)</f>
        <v>17.144499999999997</v>
      </c>
      <c r="E36" s="418" t="s">
        <v>115</v>
      </c>
      <c r="F36" s="460">
        <f>D36/g/J36</f>
        <v>2.9127590893645934</v>
      </c>
      <c r="G36" s="418" t="s">
        <v>57</v>
      </c>
      <c r="H36" s="86">
        <v>0.6</v>
      </c>
      <c r="I36" s="418" t="s">
        <v>272</v>
      </c>
      <c r="J36" s="410">
        <f>H36-L36</f>
        <v>0.6</v>
      </c>
      <c r="K36" s="418" t="s">
        <v>273</v>
      </c>
      <c r="L36" s="86">
        <v>0</v>
      </c>
      <c r="M36" s="418" t="s">
        <v>58</v>
      </c>
      <c r="N36" s="87">
        <f>0.4*R36</f>
        <v>120</v>
      </c>
      <c r="O36" s="418" t="s">
        <v>60</v>
      </c>
      <c r="P36" s="87">
        <v>150</v>
      </c>
      <c r="Q36" s="418" t="s">
        <v>61</v>
      </c>
      <c r="R36" s="87">
        <v>300</v>
      </c>
      <c r="S36" s="418" t="s">
        <v>62</v>
      </c>
      <c r="T36" s="87">
        <v>90</v>
      </c>
      <c r="U36" s="418" t="s">
        <v>55</v>
      </c>
      <c r="V36" s="88" t="s">
        <v>277</v>
      </c>
      <c r="W36" s="17"/>
      <c r="X36" s="17"/>
      <c r="Y36" s="17"/>
    </row>
    <row r="37" spans="1:25" x14ac:dyDescent="0.25">
      <c r="A37" s="417" t="s">
        <v>33</v>
      </c>
      <c r="B37" s="425">
        <v>0</v>
      </c>
      <c r="C37" s="426">
        <v>1E-3</v>
      </c>
      <c r="D37" s="426">
        <v>0.02</v>
      </c>
      <c r="E37" s="426">
        <v>0.04</v>
      </c>
      <c r="F37" s="426">
        <v>0.06</v>
      </c>
      <c r="G37" s="426">
        <v>0.08</v>
      </c>
      <c r="H37" s="426">
        <v>8.7999999999999995E-2</v>
      </c>
      <c r="I37" s="426">
        <v>8.8999999999999996E-2</v>
      </c>
      <c r="J37" s="426">
        <v>8.8999999999999996E-2</v>
      </c>
      <c r="K37" s="426">
        <v>8.8999999999999996E-2</v>
      </c>
      <c r="L37" s="426">
        <v>8.8999999999999996E-2</v>
      </c>
      <c r="M37" s="426">
        <v>8.8999999999999996E-2</v>
      </c>
      <c r="N37" s="426">
        <v>8.8999999999999996E-2</v>
      </c>
      <c r="O37" s="426">
        <v>8.8999999999999996E-2</v>
      </c>
      <c r="P37" s="426">
        <v>8.8999999999999996E-2</v>
      </c>
      <c r="Q37" s="426">
        <v>8.8999999999999996E-2</v>
      </c>
      <c r="R37" s="426">
        <v>8.8999999999999996E-2</v>
      </c>
      <c r="S37" s="426">
        <v>8.8999999999999996E-2</v>
      </c>
      <c r="T37" s="426">
        <v>8.8999999999999996E-2</v>
      </c>
      <c r="U37" s="426">
        <v>8.8999999999999996E-2</v>
      </c>
      <c r="V37" s="426">
        <v>8.8999999999999996E-2</v>
      </c>
      <c r="W37" s="426">
        <v>8.8999999999999996E-2</v>
      </c>
      <c r="X37" s="426">
        <v>8.8999999999999996E-2</v>
      </c>
      <c r="Y37" s="437">
        <v>1000</v>
      </c>
    </row>
    <row r="38" spans="1:25" x14ac:dyDescent="0.25">
      <c r="A38" s="434" t="s">
        <v>34</v>
      </c>
      <c r="B38" s="427">
        <v>0</v>
      </c>
      <c r="C38" s="428">
        <v>310</v>
      </c>
      <c r="D38" s="428">
        <v>240</v>
      </c>
      <c r="E38" s="428">
        <v>190</v>
      </c>
      <c r="F38" s="428">
        <v>157</v>
      </c>
      <c r="G38" s="428">
        <v>133</v>
      </c>
      <c r="H38" s="428">
        <v>125</v>
      </c>
      <c r="I38" s="428">
        <v>0</v>
      </c>
      <c r="J38" s="428">
        <v>0</v>
      </c>
      <c r="K38" s="428">
        <v>0</v>
      </c>
      <c r="L38" s="428">
        <v>0</v>
      </c>
      <c r="M38" s="428">
        <v>0</v>
      </c>
      <c r="N38" s="428">
        <v>0</v>
      </c>
      <c r="O38" s="428">
        <v>0</v>
      </c>
      <c r="P38" s="428">
        <v>0</v>
      </c>
      <c r="Q38" s="428">
        <v>0</v>
      </c>
      <c r="R38" s="428">
        <v>0</v>
      </c>
      <c r="S38" s="428">
        <v>0</v>
      </c>
      <c r="T38" s="428">
        <v>0</v>
      </c>
      <c r="U38" s="428">
        <v>0</v>
      </c>
      <c r="V38" s="428">
        <v>0</v>
      </c>
      <c r="W38" s="428">
        <v>0</v>
      </c>
      <c r="X38" s="428">
        <v>0</v>
      </c>
      <c r="Y38" s="438">
        <v>0</v>
      </c>
    </row>
    <row r="39" spans="1:25" ht="13.8" thickBot="1" x14ac:dyDescent="0.3">
      <c r="A39" s="435" t="s">
        <v>117</v>
      </c>
      <c r="B39" s="429">
        <f t="shared" ref="B39:X39" si="4">(C38+B38)*(C37-B37)/2</f>
        <v>0.155</v>
      </c>
      <c r="C39" s="430">
        <f t="shared" si="4"/>
        <v>5.2249999999999996</v>
      </c>
      <c r="D39" s="430">
        <f t="shared" si="4"/>
        <v>4.3</v>
      </c>
      <c r="E39" s="430">
        <f t="shared" si="4"/>
        <v>3.4699999999999993</v>
      </c>
      <c r="F39" s="430">
        <f t="shared" si="4"/>
        <v>2.9000000000000004</v>
      </c>
      <c r="G39" s="430">
        <f t="shared" si="4"/>
        <v>1.0319999999999991</v>
      </c>
      <c r="H39" s="430">
        <f t="shared" si="4"/>
        <v>6.2500000000000056E-2</v>
      </c>
      <c r="I39" s="430">
        <f t="shared" si="4"/>
        <v>0</v>
      </c>
      <c r="J39" s="430">
        <f t="shared" si="4"/>
        <v>0</v>
      </c>
      <c r="K39" s="430">
        <f t="shared" si="4"/>
        <v>0</v>
      </c>
      <c r="L39" s="430">
        <f t="shared" si="4"/>
        <v>0</v>
      </c>
      <c r="M39" s="430">
        <f t="shared" si="4"/>
        <v>0</v>
      </c>
      <c r="N39" s="430">
        <f t="shared" si="4"/>
        <v>0</v>
      </c>
      <c r="O39" s="430">
        <f t="shared" si="4"/>
        <v>0</v>
      </c>
      <c r="P39" s="430">
        <f t="shared" si="4"/>
        <v>0</v>
      </c>
      <c r="Q39" s="430">
        <f t="shared" si="4"/>
        <v>0</v>
      </c>
      <c r="R39" s="430">
        <f t="shared" si="4"/>
        <v>0</v>
      </c>
      <c r="S39" s="430">
        <f t="shared" si="4"/>
        <v>0</v>
      </c>
      <c r="T39" s="430">
        <f t="shared" si="4"/>
        <v>0</v>
      </c>
      <c r="U39" s="430">
        <f t="shared" si="4"/>
        <v>0</v>
      </c>
      <c r="V39" s="430">
        <f t="shared" si="4"/>
        <v>0</v>
      </c>
      <c r="W39" s="430">
        <f t="shared" si="4"/>
        <v>0</v>
      </c>
      <c r="X39" s="430">
        <f t="shared" si="4"/>
        <v>0</v>
      </c>
      <c r="Y39" s="424"/>
    </row>
    <row r="40" spans="1:25" ht="13.8" thickBot="1" x14ac:dyDescent="0.3">
      <c r="A40" s="17"/>
      <c r="L40" s="17"/>
      <c r="M40" s="17"/>
      <c r="N40" s="17"/>
      <c r="O40" s="17"/>
      <c r="P40" s="17"/>
      <c r="Q40" s="17"/>
      <c r="R40" s="17"/>
      <c r="S40" s="17"/>
      <c r="T40" s="17"/>
      <c r="U40" s="17"/>
      <c r="V40" s="17"/>
      <c r="W40" s="17"/>
      <c r="X40" s="17"/>
      <c r="Y40" s="17"/>
    </row>
    <row r="41" spans="1:25" ht="13.8" thickBot="1" x14ac:dyDescent="0.3">
      <c r="A41" s="416" t="s">
        <v>313</v>
      </c>
      <c r="B41" s="414">
        <f>ROW(A41)</f>
        <v>41</v>
      </c>
      <c r="C41" s="418" t="s">
        <v>116</v>
      </c>
      <c r="D41" s="408">
        <f>SUM(B44:Y44)</f>
        <v>19.415000000000003</v>
      </c>
      <c r="E41" s="418" t="s">
        <v>115</v>
      </c>
      <c r="F41" s="460">
        <f>D41/g/J41</f>
        <v>2.6388039415562354</v>
      </c>
      <c r="G41" s="418" t="s">
        <v>57</v>
      </c>
      <c r="H41" s="86">
        <v>0.75</v>
      </c>
      <c r="I41" s="418" t="s">
        <v>272</v>
      </c>
      <c r="J41" s="410">
        <f>H41-L41</f>
        <v>0.75</v>
      </c>
      <c r="K41" s="418" t="s">
        <v>273</v>
      </c>
      <c r="L41" s="86">
        <v>0</v>
      </c>
      <c r="M41" s="418" t="s">
        <v>58</v>
      </c>
      <c r="N41" s="87">
        <f>0.5*R41</f>
        <v>150</v>
      </c>
      <c r="O41" s="418" t="s">
        <v>60</v>
      </c>
      <c r="P41" s="87">
        <v>150</v>
      </c>
      <c r="Q41" s="418" t="s">
        <v>61</v>
      </c>
      <c r="R41" s="87">
        <v>300</v>
      </c>
      <c r="S41" s="418" t="s">
        <v>62</v>
      </c>
      <c r="T41" s="87">
        <v>90</v>
      </c>
      <c r="U41" s="418" t="s">
        <v>55</v>
      </c>
      <c r="V41" s="88" t="s">
        <v>277</v>
      </c>
      <c r="W41" s="17"/>
      <c r="X41" s="17"/>
      <c r="Y41" s="17"/>
    </row>
    <row r="42" spans="1:25" x14ac:dyDescent="0.25">
      <c r="A42" s="417" t="s">
        <v>33</v>
      </c>
      <c r="B42" s="425">
        <v>0</v>
      </c>
      <c r="C42" s="426">
        <v>1E-3</v>
      </c>
      <c r="D42" s="426">
        <v>0.02</v>
      </c>
      <c r="E42" s="426">
        <v>0.04</v>
      </c>
      <c r="F42" s="426">
        <v>0.06</v>
      </c>
      <c r="G42" s="426">
        <v>0.08</v>
      </c>
      <c r="H42" s="426">
        <v>0.1</v>
      </c>
      <c r="I42" s="426">
        <v>0.123</v>
      </c>
      <c r="J42" s="426">
        <v>0.124</v>
      </c>
      <c r="K42" s="426">
        <v>0.124</v>
      </c>
      <c r="L42" s="426">
        <v>0.124</v>
      </c>
      <c r="M42" s="426">
        <v>0.124</v>
      </c>
      <c r="N42" s="426">
        <v>0.124</v>
      </c>
      <c r="O42" s="426">
        <v>0.124</v>
      </c>
      <c r="P42" s="426">
        <v>0.124</v>
      </c>
      <c r="Q42" s="426">
        <v>0.124</v>
      </c>
      <c r="R42" s="426">
        <v>0.124</v>
      </c>
      <c r="S42" s="426">
        <v>0.124</v>
      </c>
      <c r="T42" s="426">
        <v>0.124</v>
      </c>
      <c r="U42" s="426">
        <v>0.124</v>
      </c>
      <c r="V42" s="426">
        <v>0.124</v>
      </c>
      <c r="W42" s="426">
        <v>0.124</v>
      </c>
      <c r="X42" s="426">
        <v>0.124</v>
      </c>
      <c r="Y42" s="437">
        <v>1000</v>
      </c>
    </row>
    <row r="43" spans="1:25" x14ac:dyDescent="0.25">
      <c r="A43" s="434" t="s">
        <v>34</v>
      </c>
      <c r="B43" s="427">
        <v>0</v>
      </c>
      <c r="C43" s="428">
        <v>310</v>
      </c>
      <c r="D43" s="428">
        <v>230</v>
      </c>
      <c r="E43" s="428">
        <v>175</v>
      </c>
      <c r="F43" s="428">
        <v>140</v>
      </c>
      <c r="G43" s="428">
        <v>118</v>
      </c>
      <c r="H43" s="428">
        <v>100</v>
      </c>
      <c r="I43" s="428">
        <v>85</v>
      </c>
      <c r="J43" s="428">
        <v>0</v>
      </c>
      <c r="K43" s="428">
        <v>0</v>
      </c>
      <c r="L43" s="428">
        <v>0</v>
      </c>
      <c r="M43" s="428">
        <v>0</v>
      </c>
      <c r="N43" s="428">
        <v>0</v>
      </c>
      <c r="O43" s="428">
        <v>0</v>
      </c>
      <c r="P43" s="428">
        <v>0</v>
      </c>
      <c r="Q43" s="428">
        <v>0</v>
      </c>
      <c r="R43" s="428">
        <v>0</v>
      </c>
      <c r="S43" s="428">
        <v>0</v>
      </c>
      <c r="T43" s="428">
        <v>0</v>
      </c>
      <c r="U43" s="428">
        <v>0</v>
      </c>
      <c r="V43" s="428">
        <v>0</v>
      </c>
      <c r="W43" s="428">
        <v>0</v>
      </c>
      <c r="X43" s="428">
        <v>0</v>
      </c>
      <c r="Y43" s="438">
        <v>0</v>
      </c>
    </row>
    <row r="44" spans="1:25" ht="13.8" thickBot="1" x14ac:dyDescent="0.3">
      <c r="A44" s="435" t="s">
        <v>117</v>
      </c>
      <c r="B44" s="429">
        <f t="shared" ref="B44:X44" si="5">(C43+B43)*(C42-B42)/2</f>
        <v>0.155</v>
      </c>
      <c r="C44" s="430">
        <f t="shared" si="5"/>
        <v>5.13</v>
      </c>
      <c r="D44" s="430">
        <f t="shared" si="5"/>
        <v>4.05</v>
      </c>
      <c r="E44" s="430">
        <f t="shared" si="5"/>
        <v>3.1499999999999995</v>
      </c>
      <c r="F44" s="430">
        <f t="shared" si="5"/>
        <v>2.5800000000000005</v>
      </c>
      <c r="G44" s="430">
        <f t="shared" si="5"/>
        <v>2.1800000000000006</v>
      </c>
      <c r="H44" s="430">
        <f t="shared" si="5"/>
        <v>2.1274999999999995</v>
      </c>
      <c r="I44" s="430">
        <f t="shared" si="5"/>
        <v>4.2500000000000038E-2</v>
      </c>
      <c r="J44" s="430">
        <f t="shared" si="5"/>
        <v>0</v>
      </c>
      <c r="K44" s="430">
        <f t="shared" si="5"/>
        <v>0</v>
      </c>
      <c r="L44" s="430">
        <f t="shared" si="5"/>
        <v>0</v>
      </c>
      <c r="M44" s="430">
        <f t="shared" si="5"/>
        <v>0</v>
      </c>
      <c r="N44" s="430">
        <f t="shared" si="5"/>
        <v>0</v>
      </c>
      <c r="O44" s="430">
        <f t="shared" si="5"/>
        <v>0</v>
      </c>
      <c r="P44" s="430">
        <f t="shared" si="5"/>
        <v>0</v>
      </c>
      <c r="Q44" s="430">
        <f t="shared" si="5"/>
        <v>0</v>
      </c>
      <c r="R44" s="430">
        <f t="shared" si="5"/>
        <v>0</v>
      </c>
      <c r="S44" s="430">
        <f t="shared" si="5"/>
        <v>0</v>
      </c>
      <c r="T44" s="430">
        <f t="shared" si="5"/>
        <v>0</v>
      </c>
      <c r="U44" s="430">
        <f t="shared" si="5"/>
        <v>0</v>
      </c>
      <c r="V44" s="430">
        <f t="shared" si="5"/>
        <v>0</v>
      </c>
      <c r="W44" s="430">
        <f t="shared" si="5"/>
        <v>0</v>
      </c>
      <c r="X44" s="430">
        <f t="shared" si="5"/>
        <v>0</v>
      </c>
      <c r="Y44" s="424"/>
    </row>
    <row r="45" spans="1:25" ht="13.8" thickBot="1" x14ac:dyDescent="0.3"/>
    <row r="46" spans="1:25" ht="13.8" thickBot="1" x14ac:dyDescent="0.3">
      <c r="A46" s="416" t="s">
        <v>278</v>
      </c>
      <c r="B46" s="414">
        <f>ROW(A46)</f>
        <v>46</v>
      </c>
      <c r="C46" s="418" t="s">
        <v>116</v>
      </c>
      <c r="D46" s="408">
        <f>SUM(B49:Y49)</f>
        <v>12.8695</v>
      </c>
      <c r="E46" s="418" t="s">
        <v>115</v>
      </c>
      <c r="F46" s="460">
        <f>D46/g/J46</f>
        <v>3.2796890927624869</v>
      </c>
      <c r="G46" s="418" t="s">
        <v>57</v>
      </c>
      <c r="H46" s="86">
        <v>0.5</v>
      </c>
      <c r="I46" s="418" t="s">
        <v>272</v>
      </c>
      <c r="J46" s="410">
        <f>H46-L46</f>
        <v>0.4</v>
      </c>
      <c r="K46" s="418" t="s">
        <v>273</v>
      </c>
      <c r="L46" s="86">
        <v>0.1</v>
      </c>
      <c r="M46" s="418" t="s">
        <v>58</v>
      </c>
      <c r="N46" s="87">
        <f>0.2*R46</f>
        <v>60</v>
      </c>
      <c r="O46" s="418" t="s">
        <v>60</v>
      </c>
      <c r="P46" s="87">
        <v>150</v>
      </c>
      <c r="Q46" s="418" t="s">
        <v>61</v>
      </c>
      <c r="R46" s="87">
        <v>300</v>
      </c>
      <c r="S46" s="418" t="s">
        <v>62</v>
      </c>
      <c r="T46" s="87">
        <v>98</v>
      </c>
      <c r="U46" s="418" t="s">
        <v>55</v>
      </c>
      <c r="V46" s="88" t="s">
        <v>277</v>
      </c>
      <c r="W46" s="17"/>
      <c r="X46" s="17"/>
      <c r="Y46" s="17"/>
    </row>
    <row r="47" spans="1:25" x14ac:dyDescent="0.25">
      <c r="A47" s="417" t="s">
        <v>33</v>
      </c>
      <c r="B47" s="425">
        <v>0</v>
      </c>
      <c r="C47" s="426">
        <v>1E-3</v>
      </c>
      <c r="D47" s="426">
        <v>0.02</v>
      </c>
      <c r="E47" s="426">
        <v>0.04</v>
      </c>
      <c r="F47" s="426">
        <v>0.05</v>
      </c>
      <c r="G47" s="426">
        <v>5.0999999999999997E-2</v>
      </c>
      <c r="H47" s="426">
        <v>5.0999999999999997E-2</v>
      </c>
      <c r="I47" s="426">
        <v>5.0999999999999997E-2</v>
      </c>
      <c r="J47" s="426">
        <v>5.0999999999999997E-2</v>
      </c>
      <c r="K47" s="426">
        <v>5.0999999999999997E-2</v>
      </c>
      <c r="L47" s="426">
        <v>5.0999999999999997E-2</v>
      </c>
      <c r="M47" s="426">
        <v>5.0999999999999997E-2</v>
      </c>
      <c r="N47" s="426">
        <v>5.0999999999999997E-2</v>
      </c>
      <c r="O47" s="426">
        <v>5.0999999999999997E-2</v>
      </c>
      <c r="P47" s="426">
        <v>5.0999999999999997E-2</v>
      </c>
      <c r="Q47" s="426">
        <v>5.0999999999999997E-2</v>
      </c>
      <c r="R47" s="426">
        <v>5.0999999999999997E-2</v>
      </c>
      <c r="S47" s="426">
        <v>5.0999999999999997E-2</v>
      </c>
      <c r="T47" s="426">
        <v>5.0999999999999997E-2</v>
      </c>
      <c r="U47" s="426">
        <v>5.0999999999999997E-2</v>
      </c>
      <c r="V47" s="426">
        <v>5.0999999999999997E-2</v>
      </c>
      <c r="W47" s="426">
        <v>5.0999999999999997E-2</v>
      </c>
      <c r="X47" s="426">
        <v>5.0999999999999997E-2</v>
      </c>
      <c r="Y47" s="437">
        <v>1000</v>
      </c>
    </row>
    <row r="48" spans="1:25" x14ac:dyDescent="0.25">
      <c r="A48" s="434" t="s">
        <v>34</v>
      </c>
      <c r="B48" s="427">
        <v>0</v>
      </c>
      <c r="C48" s="428">
        <v>310</v>
      </c>
      <c r="D48" s="428">
        <v>264</v>
      </c>
      <c r="E48" s="428">
        <v>230</v>
      </c>
      <c r="F48" s="428">
        <v>213</v>
      </c>
      <c r="G48" s="428">
        <v>0</v>
      </c>
      <c r="H48" s="428">
        <v>0</v>
      </c>
      <c r="I48" s="428">
        <v>0</v>
      </c>
      <c r="J48" s="428">
        <v>0</v>
      </c>
      <c r="K48" s="428">
        <v>0</v>
      </c>
      <c r="L48" s="428">
        <v>0</v>
      </c>
      <c r="M48" s="428">
        <v>0</v>
      </c>
      <c r="N48" s="428">
        <v>0</v>
      </c>
      <c r="O48" s="428">
        <v>0</v>
      </c>
      <c r="P48" s="428">
        <v>0</v>
      </c>
      <c r="Q48" s="428">
        <v>0</v>
      </c>
      <c r="R48" s="428">
        <v>0</v>
      </c>
      <c r="S48" s="428">
        <v>0</v>
      </c>
      <c r="T48" s="428">
        <v>0</v>
      </c>
      <c r="U48" s="428">
        <v>0</v>
      </c>
      <c r="V48" s="428">
        <v>0</v>
      </c>
      <c r="W48" s="428">
        <v>0</v>
      </c>
      <c r="X48" s="428">
        <v>0</v>
      </c>
      <c r="Y48" s="438">
        <v>0</v>
      </c>
    </row>
    <row r="49" spans="1:25" ht="13.8" thickBot="1" x14ac:dyDescent="0.3">
      <c r="A49" s="435" t="s">
        <v>117</v>
      </c>
      <c r="B49" s="429">
        <f t="shared" ref="B49:X49" si="6">(C48+B48)*(C47-B47)/2</f>
        <v>0.155</v>
      </c>
      <c r="C49" s="430">
        <f t="shared" si="6"/>
        <v>5.4530000000000003</v>
      </c>
      <c r="D49" s="430">
        <f t="shared" si="6"/>
        <v>4.9400000000000004</v>
      </c>
      <c r="E49" s="430">
        <f t="shared" si="6"/>
        <v>2.2150000000000003</v>
      </c>
      <c r="F49" s="430">
        <f t="shared" si="6"/>
        <v>0.10649999999999936</v>
      </c>
      <c r="G49" s="430">
        <f t="shared" si="6"/>
        <v>0</v>
      </c>
      <c r="H49" s="430">
        <f t="shared" si="6"/>
        <v>0</v>
      </c>
      <c r="I49" s="430">
        <f t="shared" si="6"/>
        <v>0</v>
      </c>
      <c r="J49" s="430">
        <f t="shared" si="6"/>
        <v>0</v>
      </c>
      <c r="K49" s="430">
        <f t="shared" si="6"/>
        <v>0</v>
      </c>
      <c r="L49" s="430">
        <f t="shared" si="6"/>
        <v>0</v>
      </c>
      <c r="M49" s="430">
        <f t="shared" si="6"/>
        <v>0</v>
      </c>
      <c r="N49" s="430">
        <f t="shared" si="6"/>
        <v>0</v>
      </c>
      <c r="O49" s="430">
        <f t="shared" si="6"/>
        <v>0</v>
      </c>
      <c r="P49" s="430">
        <f t="shared" si="6"/>
        <v>0</v>
      </c>
      <c r="Q49" s="430">
        <f t="shared" si="6"/>
        <v>0</v>
      </c>
      <c r="R49" s="430">
        <f t="shared" si="6"/>
        <v>0</v>
      </c>
      <c r="S49" s="430">
        <f t="shared" si="6"/>
        <v>0</v>
      </c>
      <c r="T49" s="430">
        <f t="shared" si="6"/>
        <v>0</v>
      </c>
      <c r="U49" s="430">
        <f t="shared" si="6"/>
        <v>0</v>
      </c>
      <c r="V49" s="430">
        <f t="shared" si="6"/>
        <v>0</v>
      </c>
      <c r="W49" s="430">
        <f t="shared" si="6"/>
        <v>0</v>
      </c>
      <c r="X49" s="430">
        <f t="shared" si="6"/>
        <v>0</v>
      </c>
      <c r="Y49" s="424"/>
    </row>
    <row r="50" spans="1:25" ht="13.8" thickBot="1" x14ac:dyDescent="0.3">
      <c r="A50" s="17"/>
      <c r="L50" s="17"/>
      <c r="M50" s="17"/>
      <c r="N50" s="17"/>
      <c r="O50" s="17"/>
      <c r="P50" s="17"/>
      <c r="Q50" s="17"/>
      <c r="R50" s="17"/>
      <c r="S50" s="17"/>
      <c r="T50" s="17"/>
      <c r="U50" s="17"/>
      <c r="V50" s="17"/>
      <c r="W50" s="17"/>
      <c r="X50" s="17"/>
      <c r="Y50" s="17"/>
    </row>
    <row r="51" spans="1:25" ht="13.8" thickBot="1" x14ac:dyDescent="0.3">
      <c r="A51" s="416" t="s">
        <v>279</v>
      </c>
      <c r="B51" s="414">
        <f>ROW(A51)</f>
        <v>51</v>
      </c>
      <c r="C51" s="418" t="s">
        <v>116</v>
      </c>
      <c r="D51" s="408">
        <f>SUM(B54:Y54)</f>
        <v>18.123500000000003</v>
      </c>
      <c r="E51" s="418" t="s">
        <v>115</v>
      </c>
      <c r="F51" s="460">
        <f>D51/g/J51</f>
        <v>3.0790859667006463</v>
      </c>
      <c r="G51" s="418" t="s">
        <v>57</v>
      </c>
      <c r="H51" s="86">
        <v>0.7</v>
      </c>
      <c r="I51" s="418" t="s">
        <v>272</v>
      </c>
      <c r="J51" s="410">
        <f>H51-L51</f>
        <v>0.6</v>
      </c>
      <c r="K51" s="418" t="s">
        <v>273</v>
      </c>
      <c r="L51" s="86">
        <v>0.1</v>
      </c>
      <c r="M51" s="418" t="s">
        <v>58</v>
      </c>
      <c r="N51" s="87">
        <f>0.3*R51</f>
        <v>90</v>
      </c>
      <c r="O51" s="418" t="s">
        <v>60</v>
      </c>
      <c r="P51" s="87">
        <v>150</v>
      </c>
      <c r="Q51" s="418" t="s">
        <v>61</v>
      </c>
      <c r="R51" s="87">
        <v>300</v>
      </c>
      <c r="S51" s="418" t="s">
        <v>62</v>
      </c>
      <c r="T51" s="87">
        <v>98</v>
      </c>
      <c r="U51" s="418" t="s">
        <v>55</v>
      </c>
      <c r="V51" s="88" t="s">
        <v>277</v>
      </c>
      <c r="W51" s="17"/>
      <c r="X51" s="17"/>
      <c r="Y51" s="17"/>
    </row>
    <row r="52" spans="1:25" x14ac:dyDescent="0.25">
      <c r="A52" s="417" t="s">
        <v>33</v>
      </c>
      <c r="B52" s="425">
        <v>0</v>
      </c>
      <c r="C52" s="426">
        <v>1E-3</v>
      </c>
      <c r="D52" s="426">
        <v>0.02</v>
      </c>
      <c r="E52" s="426">
        <v>0.04</v>
      </c>
      <c r="F52" s="426">
        <v>0.06</v>
      </c>
      <c r="G52" s="426">
        <v>0.08</v>
      </c>
      <c r="H52" s="426">
        <v>8.1000000000000003E-2</v>
      </c>
      <c r="I52" s="426">
        <v>8.1000000000000003E-2</v>
      </c>
      <c r="J52" s="426">
        <v>8.1000000000000003E-2</v>
      </c>
      <c r="K52" s="426">
        <v>8.1000000000000003E-2</v>
      </c>
      <c r="L52" s="426">
        <v>8.1000000000000003E-2</v>
      </c>
      <c r="M52" s="426">
        <v>8.1000000000000003E-2</v>
      </c>
      <c r="N52" s="426">
        <v>8.1000000000000003E-2</v>
      </c>
      <c r="O52" s="426">
        <v>8.1000000000000003E-2</v>
      </c>
      <c r="P52" s="426">
        <v>8.1000000000000003E-2</v>
      </c>
      <c r="Q52" s="426">
        <v>8.1000000000000003E-2</v>
      </c>
      <c r="R52" s="426">
        <v>8.1000000000000003E-2</v>
      </c>
      <c r="S52" s="426">
        <v>8.1000000000000003E-2</v>
      </c>
      <c r="T52" s="426">
        <v>8.1000000000000003E-2</v>
      </c>
      <c r="U52" s="426">
        <v>8.1000000000000003E-2</v>
      </c>
      <c r="V52" s="426">
        <v>8.1000000000000003E-2</v>
      </c>
      <c r="W52" s="426">
        <v>8.1000000000000003E-2</v>
      </c>
      <c r="X52" s="426">
        <v>8.1000000000000003E-2</v>
      </c>
      <c r="Y52" s="437">
        <v>1000</v>
      </c>
    </row>
    <row r="53" spans="1:25" x14ac:dyDescent="0.25">
      <c r="A53" s="434" t="s">
        <v>34</v>
      </c>
      <c r="B53" s="427">
        <v>0</v>
      </c>
      <c r="C53" s="428">
        <v>310</v>
      </c>
      <c r="D53" s="428">
        <v>260</v>
      </c>
      <c r="E53" s="428">
        <v>220</v>
      </c>
      <c r="F53" s="428">
        <v>190</v>
      </c>
      <c r="G53" s="428">
        <v>167</v>
      </c>
      <c r="H53" s="428">
        <v>0</v>
      </c>
      <c r="I53" s="428">
        <v>0</v>
      </c>
      <c r="J53" s="428">
        <v>0</v>
      </c>
      <c r="K53" s="428">
        <v>0</v>
      </c>
      <c r="L53" s="428">
        <v>0</v>
      </c>
      <c r="M53" s="428">
        <v>0</v>
      </c>
      <c r="N53" s="428">
        <v>0</v>
      </c>
      <c r="O53" s="428">
        <v>0</v>
      </c>
      <c r="P53" s="428">
        <v>0</v>
      </c>
      <c r="Q53" s="428">
        <v>0</v>
      </c>
      <c r="R53" s="428">
        <v>0</v>
      </c>
      <c r="S53" s="428">
        <v>0</v>
      </c>
      <c r="T53" s="428">
        <v>0</v>
      </c>
      <c r="U53" s="428">
        <v>0</v>
      </c>
      <c r="V53" s="428">
        <v>0</v>
      </c>
      <c r="W53" s="428">
        <v>0</v>
      </c>
      <c r="X53" s="428">
        <v>0</v>
      </c>
      <c r="Y53" s="438">
        <v>0</v>
      </c>
    </row>
    <row r="54" spans="1:25" ht="13.8" thickBot="1" x14ac:dyDescent="0.3">
      <c r="A54" s="435" t="s">
        <v>117</v>
      </c>
      <c r="B54" s="429">
        <f t="shared" ref="B54:X54" si="7">(C53+B53)*(C52-B52)/2</f>
        <v>0.155</v>
      </c>
      <c r="C54" s="430">
        <f t="shared" si="7"/>
        <v>5.415</v>
      </c>
      <c r="D54" s="430">
        <f t="shared" si="7"/>
        <v>4.8</v>
      </c>
      <c r="E54" s="430">
        <f t="shared" si="7"/>
        <v>4.0999999999999996</v>
      </c>
      <c r="F54" s="430">
        <f t="shared" si="7"/>
        <v>3.5700000000000007</v>
      </c>
      <c r="G54" s="430">
        <f t="shared" si="7"/>
        <v>8.3500000000000074E-2</v>
      </c>
      <c r="H54" s="430">
        <f t="shared" si="7"/>
        <v>0</v>
      </c>
      <c r="I54" s="430">
        <f t="shared" si="7"/>
        <v>0</v>
      </c>
      <c r="J54" s="430">
        <f t="shared" si="7"/>
        <v>0</v>
      </c>
      <c r="K54" s="430">
        <f t="shared" si="7"/>
        <v>0</v>
      </c>
      <c r="L54" s="430">
        <f t="shared" si="7"/>
        <v>0</v>
      </c>
      <c r="M54" s="430">
        <f t="shared" si="7"/>
        <v>0</v>
      </c>
      <c r="N54" s="430">
        <f t="shared" si="7"/>
        <v>0</v>
      </c>
      <c r="O54" s="430">
        <f t="shared" si="7"/>
        <v>0</v>
      </c>
      <c r="P54" s="430">
        <f t="shared" si="7"/>
        <v>0</v>
      </c>
      <c r="Q54" s="430">
        <f t="shared" si="7"/>
        <v>0</v>
      </c>
      <c r="R54" s="430">
        <f t="shared" si="7"/>
        <v>0</v>
      </c>
      <c r="S54" s="430">
        <f t="shared" si="7"/>
        <v>0</v>
      </c>
      <c r="T54" s="430">
        <f t="shared" si="7"/>
        <v>0</v>
      </c>
      <c r="U54" s="430">
        <f t="shared" si="7"/>
        <v>0</v>
      </c>
      <c r="V54" s="430">
        <f t="shared" si="7"/>
        <v>0</v>
      </c>
      <c r="W54" s="430">
        <f t="shared" si="7"/>
        <v>0</v>
      </c>
      <c r="X54" s="430">
        <f t="shared" si="7"/>
        <v>0</v>
      </c>
      <c r="Y54" s="424"/>
    </row>
    <row r="55" spans="1:25" ht="13.8" thickBot="1" x14ac:dyDescent="0.3">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3.8" thickBot="1" x14ac:dyDescent="0.3">
      <c r="A56" s="416" t="s">
        <v>280</v>
      </c>
      <c r="B56" s="414">
        <f>ROW(A56)</f>
        <v>56</v>
      </c>
      <c r="C56" s="418" t="s">
        <v>116</v>
      </c>
      <c r="D56" s="408">
        <f>SUM(B59:Y59)</f>
        <v>22.610000000000003</v>
      </c>
      <c r="E56" s="418" t="s">
        <v>115</v>
      </c>
      <c r="F56" s="460">
        <f>D56/g/J56</f>
        <v>2.88098878695209</v>
      </c>
      <c r="G56" s="418" t="s">
        <v>57</v>
      </c>
      <c r="H56" s="86">
        <v>0.9</v>
      </c>
      <c r="I56" s="418" t="s">
        <v>272</v>
      </c>
      <c r="J56" s="410">
        <f>H56-L56</f>
        <v>0.8</v>
      </c>
      <c r="K56" s="418" t="s">
        <v>273</v>
      </c>
      <c r="L56" s="86">
        <v>0.1</v>
      </c>
      <c r="M56" s="418" t="s">
        <v>58</v>
      </c>
      <c r="N56" s="87">
        <f>0.4*R56</f>
        <v>120</v>
      </c>
      <c r="O56" s="418" t="s">
        <v>60</v>
      </c>
      <c r="P56" s="87">
        <v>150</v>
      </c>
      <c r="Q56" s="418" t="s">
        <v>61</v>
      </c>
      <c r="R56" s="87">
        <v>300</v>
      </c>
      <c r="S56" s="418" t="s">
        <v>62</v>
      </c>
      <c r="T56" s="87">
        <v>98</v>
      </c>
      <c r="U56" s="418" t="s">
        <v>55</v>
      </c>
      <c r="V56" s="88" t="s">
        <v>277</v>
      </c>
      <c r="W56" s="17"/>
      <c r="X56" s="17"/>
      <c r="Y56" s="17"/>
    </row>
    <row r="57" spans="1:25" x14ac:dyDescent="0.25">
      <c r="A57" s="417" t="s">
        <v>33</v>
      </c>
      <c r="B57" s="425">
        <v>0</v>
      </c>
      <c r="C57" s="426">
        <v>1E-3</v>
      </c>
      <c r="D57" s="426">
        <v>0.02</v>
      </c>
      <c r="E57" s="426">
        <v>0.04</v>
      </c>
      <c r="F57" s="426">
        <v>0.06</v>
      </c>
      <c r="G57" s="426">
        <v>0.08</v>
      </c>
      <c r="H57" s="426">
        <v>0.1</v>
      </c>
      <c r="I57" s="426">
        <v>0.11700000000000001</v>
      </c>
      <c r="J57" s="426">
        <v>0.11799999999999999</v>
      </c>
      <c r="K57" s="426">
        <v>0.11799999999999999</v>
      </c>
      <c r="L57" s="426">
        <v>0.11799999999999999</v>
      </c>
      <c r="M57" s="426">
        <v>0.11799999999999999</v>
      </c>
      <c r="N57" s="426">
        <v>0.11799999999999999</v>
      </c>
      <c r="O57" s="426">
        <v>0.11799999999999999</v>
      </c>
      <c r="P57" s="426">
        <v>0.11799999999999999</v>
      </c>
      <c r="Q57" s="426">
        <v>0.11799999999999999</v>
      </c>
      <c r="R57" s="426">
        <v>0.11799999999999999</v>
      </c>
      <c r="S57" s="426">
        <v>0.11799999999999999</v>
      </c>
      <c r="T57" s="426">
        <v>0.11799999999999999</v>
      </c>
      <c r="U57" s="426">
        <v>0.11799999999999999</v>
      </c>
      <c r="V57" s="426">
        <v>0.11799999999999999</v>
      </c>
      <c r="W57" s="426">
        <v>0.11799999999999999</v>
      </c>
      <c r="X57" s="426">
        <v>0.11799999999999999</v>
      </c>
      <c r="Y57" s="437">
        <v>1000</v>
      </c>
    </row>
    <row r="58" spans="1:25" x14ac:dyDescent="0.25">
      <c r="A58" s="434" t="s">
        <v>34</v>
      </c>
      <c r="B58" s="427">
        <v>0</v>
      </c>
      <c r="C58" s="428">
        <v>310</v>
      </c>
      <c r="D58" s="428">
        <v>250</v>
      </c>
      <c r="E58" s="428">
        <v>210</v>
      </c>
      <c r="F58" s="428">
        <v>180</v>
      </c>
      <c r="G58" s="428">
        <v>156</v>
      </c>
      <c r="H58" s="428">
        <v>140</v>
      </c>
      <c r="I58" s="428">
        <v>125</v>
      </c>
      <c r="J58" s="428">
        <v>0</v>
      </c>
      <c r="K58" s="428">
        <v>0</v>
      </c>
      <c r="L58" s="428">
        <v>0</v>
      </c>
      <c r="M58" s="428">
        <v>0</v>
      </c>
      <c r="N58" s="428">
        <v>0</v>
      </c>
      <c r="O58" s="428">
        <v>0</v>
      </c>
      <c r="P58" s="428">
        <v>0</v>
      </c>
      <c r="Q58" s="428">
        <v>0</v>
      </c>
      <c r="R58" s="428">
        <v>0</v>
      </c>
      <c r="S58" s="428">
        <v>0</v>
      </c>
      <c r="T58" s="428">
        <v>0</v>
      </c>
      <c r="U58" s="428">
        <v>0</v>
      </c>
      <c r="V58" s="428">
        <v>0</v>
      </c>
      <c r="W58" s="428">
        <v>0</v>
      </c>
      <c r="X58" s="428">
        <v>0</v>
      </c>
      <c r="Y58" s="438">
        <v>0</v>
      </c>
    </row>
    <row r="59" spans="1:25" ht="13.8" thickBot="1" x14ac:dyDescent="0.3">
      <c r="A59" s="435" t="s">
        <v>117</v>
      </c>
      <c r="B59" s="429">
        <f t="shared" ref="B59:X59" si="8">(C58+B58)*(C57-B57)/2</f>
        <v>0.155</v>
      </c>
      <c r="C59" s="430">
        <f t="shared" si="8"/>
        <v>5.32</v>
      </c>
      <c r="D59" s="430">
        <f t="shared" si="8"/>
        <v>4.6000000000000005</v>
      </c>
      <c r="E59" s="430">
        <f t="shared" si="8"/>
        <v>3.8999999999999995</v>
      </c>
      <c r="F59" s="430">
        <f t="shared" si="8"/>
        <v>3.3600000000000008</v>
      </c>
      <c r="G59" s="430">
        <f t="shared" si="8"/>
        <v>2.9600000000000004</v>
      </c>
      <c r="H59" s="430">
        <f t="shared" si="8"/>
        <v>2.2524999999999999</v>
      </c>
      <c r="I59" s="430">
        <f t="shared" si="8"/>
        <v>6.2499999999999188E-2</v>
      </c>
      <c r="J59" s="430">
        <f t="shared" si="8"/>
        <v>0</v>
      </c>
      <c r="K59" s="430">
        <f t="shared" si="8"/>
        <v>0</v>
      </c>
      <c r="L59" s="430">
        <f t="shared" si="8"/>
        <v>0</v>
      </c>
      <c r="M59" s="430">
        <f t="shared" si="8"/>
        <v>0</v>
      </c>
      <c r="N59" s="430">
        <f t="shared" si="8"/>
        <v>0</v>
      </c>
      <c r="O59" s="430">
        <f t="shared" si="8"/>
        <v>0</v>
      </c>
      <c r="P59" s="430">
        <f t="shared" si="8"/>
        <v>0</v>
      </c>
      <c r="Q59" s="430">
        <f t="shared" si="8"/>
        <v>0</v>
      </c>
      <c r="R59" s="430">
        <f t="shared" si="8"/>
        <v>0</v>
      </c>
      <c r="S59" s="430">
        <f t="shared" si="8"/>
        <v>0</v>
      </c>
      <c r="T59" s="430">
        <f t="shared" si="8"/>
        <v>0</v>
      </c>
      <c r="U59" s="430">
        <f t="shared" si="8"/>
        <v>0</v>
      </c>
      <c r="V59" s="430">
        <f t="shared" si="8"/>
        <v>0</v>
      </c>
      <c r="W59" s="430">
        <f t="shared" si="8"/>
        <v>0</v>
      </c>
      <c r="X59" s="430">
        <f t="shared" si="8"/>
        <v>0</v>
      </c>
      <c r="Y59" s="424"/>
    </row>
    <row r="60" spans="1:25" ht="13.8" thickBot="1" x14ac:dyDescent="0.3">
      <c r="A60" s="17"/>
      <c r="L60" s="17"/>
      <c r="M60" s="17"/>
      <c r="N60" s="17"/>
      <c r="O60" s="17"/>
      <c r="P60" s="17"/>
      <c r="Q60" s="17"/>
      <c r="R60" s="17"/>
      <c r="S60" s="17"/>
      <c r="T60" s="17"/>
      <c r="U60" s="17"/>
      <c r="V60" s="17"/>
      <c r="W60" s="17"/>
      <c r="X60" s="17"/>
      <c r="Y60" s="17"/>
    </row>
    <row r="61" spans="1:25" ht="13.8" thickBot="1" x14ac:dyDescent="0.3">
      <c r="A61" s="416" t="s">
        <v>281</v>
      </c>
      <c r="B61" s="414">
        <f>ROW(A61)</f>
        <v>61</v>
      </c>
      <c r="C61" s="418" t="s">
        <v>116</v>
      </c>
      <c r="D61" s="408">
        <f>SUM(B64:Y64)</f>
        <v>25.874000000000006</v>
      </c>
      <c r="E61" s="418" t="s">
        <v>115</v>
      </c>
      <c r="F61" s="460">
        <f>D61/g/J61</f>
        <v>2.6375127420998985</v>
      </c>
      <c r="G61" s="418" t="s">
        <v>57</v>
      </c>
      <c r="H61" s="86">
        <v>1.1000000000000001</v>
      </c>
      <c r="I61" s="418" t="s">
        <v>272</v>
      </c>
      <c r="J61" s="410">
        <f>H61-L61</f>
        <v>1</v>
      </c>
      <c r="K61" s="418" t="s">
        <v>273</v>
      </c>
      <c r="L61" s="86">
        <v>0.1</v>
      </c>
      <c r="M61" s="418" t="s">
        <v>58</v>
      </c>
      <c r="N61" s="87">
        <f>0.5*R61</f>
        <v>150</v>
      </c>
      <c r="O61" s="418" t="s">
        <v>60</v>
      </c>
      <c r="P61" s="87">
        <v>150</v>
      </c>
      <c r="Q61" s="418" t="s">
        <v>61</v>
      </c>
      <c r="R61" s="87">
        <v>300</v>
      </c>
      <c r="S61" s="418" t="s">
        <v>62</v>
      </c>
      <c r="T61" s="87">
        <v>98</v>
      </c>
      <c r="U61" s="418" t="s">
        <v>55</v>
      </c>
      <c r="V61" s="88" t="s">
        <v>277</v>
      </c>
      <c r="W61" s="17"/>
      <c r="X61" s="17"/>
      <c r="Y61" s="17"/>
    </row>
    <row r="62" spans="1:25" x14ac:dyDescent="0.25">
      <c r="A62" s="417" t="s">
        <v>33</v>
      </c>
      <c r="B62" s="425">
        <v>0</v>
      </c>
      <c r="C62" s="426">
        <v>1E-3</v>
      </c>
      <c r="D62" s="426">
        <v>0.02</v>
      </c>
      <c r="E62" s="426">
        <v>0.04</v>
      </c>
      <c r="F62" s="426">
        <v>0.06</v>
      </c>
      <c r="G62" s="426">
        <v>0.08</v>
      </c>
      <c r="H62" s="426">
        <v>0.1</v>
      </c>
      <c r="I62" s="426">
        <v>0.12</v>
      </c>
      <c r="J62" s="426">
        <v>0.14000000000000001</v>
      </c>
      <c r="K62" s="426">
        <v>0.16400000000000001</v>
      </c>
      <c r="L62" s="426">
        <v>0.16500000000000001</v>
      </c>
      <c r="M62" s="426">
        <v>0.16500000000000001</v>
      </c>
      <c r="N62" s="426">
        <v>0.16500000000000001</v>
      </c>
      <c r="O62" s="426">
        <v>0.16500000000000001</v>
      </c>
      <c r="P62" s="426">
        <v>0.16500000000000001</v>
      </c>
      <c r="Q62" s="426">
        <v>0.16500000000000001</v>
      </c>
      <c r="R62" s="426">
        <v>0.16500000000000001</v>
      </c>
      <c r="S62" s="426">
        <v>0.16500000000000001</v>
      </c>
      <c r="T62" s="426">
        <v>0.16500000000000001</v>
      </c>
      <c r="U62" s="426">
        <v>0.16500000000000001</v>
      </c>
      <c r="V62" s="426">
        <v>0.16500000000000001</v>
      </c>
      <c r="W62" s="426">
        <v>0.16500000000000001</v>
      </c>
      <c r="X62" s="426">
        <v>0.16500000000000001</v>
      </c>
      <c r="Y62" s="437">
        <v>1000</v>
      </c>
    </row>
    <row r="63" spans="1:25" x14ac:dyDescent="0.25">
      <c r="A63" s="434" t="s">
        <v>34</v>
      </c>
      <c r="B63" s="427">
        <v>0</v>
      </c>
      <c r="C63" s="428">
        <v>310</v>
      </c>
      <c r="D63" s="428">
        <v>245</v>
      </c>
      <c r="E63" s="428">
        <v>200</v>
      </c>
      <c r="F63" s="428">
        <v>165</v>
      </c>
      <c r="G63" s="428">
        <v>143</v>
      </c>
      <c r="H63" s="428">
        <v>124</v>
      </c>
      <c r="I63" s="428">
        <v>108</v>
      </c>
      <c r="J63" s="428">
        <v>97</v>
      </c>
      <c r="K63" s="428">
        <v>85</v>
      </c>
      <c r="L63" s="428">
        <v>0</v>
      </c>
      <c r="M63" s="428">
        <v>0</v>
      </c>
      <c r="N63" s="428">
        <v>0</v>
      </c>
      <c r="O63" s="428">
        <v>0</v>
      </c>
      <c r="P63" s="428">
        <v>0</v>
      </c>
      <c r="Q63" s="428">
        <v>0</v>
      </c>
      <c r="R63" s="428">
        <v>0</v>
      </c>
      <c r="S63" s="428">
        <v>0</v>
      </c>
      <c r="T63" s="428">
        <v>0</v>
      </c>
      <c r="U63" s="428">
        <v>0</v>
      </c>
      <c r="V63" s="428">
        <v>0</v>
      </c>
      <c r="W63" s="428">
        <v>0</v>
      </c>
      <c r="X63" s="428">
        <v>0</v>
      </c>
      <c r="Y63" s="438">
        <v>0</v>
      </c>
    </row>
    <row r="64" spans="1:25" ht="13.8" thickBot="1" x14ac:dyDescent="0.3">
      <c r="A64" s="435" t="s">
        <v>117</v>
      </c>
      <c r="B64" s="429">
        <f t="shared" ref="B64:X64" si="9">(C63+B63)*(C62-B62)/2</f>
        <v>0.155</v>
      </c>
      <c r="C64" s="430">
        <f t="shared" si="9"/>
        <v>5.2725</v>
      </c>
      <c r="D64" s="430">
        <f t="shared" si="9"/>
        <v>4.45</v>
      </c>
      <c r="E64" s="430">
        <f t="shared" si="9"/>
        <v>3.6499999999999995</v>
      </c>
      <c r="F64" s="430">
        <f t="shared" si="9"/>
        <v>3.0800000000000005</v>
      </c>
      <c r="G64" s="430">
        <f t="shared" si="9"/>
        <v>2.6700000000000004</v>
      </c>
      <c r="H64" s="430">
        <f t="shared" si="9"/>
        <v>2.319999999999999</v>
      </c>
      <c r="I64" s="430">
        <f t="shared" si="9"/>
        <v>2.0500000000000016</v>
      </c>
      <c r="J64" s="430">
        <f t="shared" si="9"/>
        <v>2.1839999999999993</v>
      </c>
      <c r="K64" s="430">
        <f t="shared" si="9"/>
        <v>4.2500000000000038E-2</v>
      </c>
      <c r="L64" s="430">
        <f t="shared" si="9"/>
        <v>0</v>
      </c>
      <c r="M64" s="430">
        <f t="shared" si="9"/>
        <v>0</v>
      </c>
      <c r="N64" s="430">
        <f t="shared" si="9"/>
        <v>0</v>
      </c>
      <c r="O64" s="430">
        <f t="shared" si="9"/>
        <v>0</v>
      </c>
      <c r="P64" s="430">
        <f t="shared" si="9"/>
        <v>0</v>
      </c>
      <c r="Q64" s="430">
        <f t="shared" si="9"/>
        <v>0</v>
      </c>
      <c r="R64" s="430">
        <f t="shared" si="9"/>
        <v>0</v>
      </c>
      <c r="S64" s="430">
        <f t="shared" si="9"/>
        <v>0</v>
      </c>
      <c r="T64" s="430">
        <f t="shared" si="9"/>
        <v>0</v>
      </c>
      <c r="U64" s="430">
        <f t="shared" si="9"/>
        <v>0</v>
      </c>
      <c r="V64" s="430">
        <f t="shared" si="9"/>
        <v>0</v>
      </c>
      <c r="W64" s="430">
        <f t="shared" si="9"/>
        <v>0</v>
      </c>
      <c r="X64" s="430">
        <f t="shared" si="9"/>
        <v>0</v>
      </c>
      <c r="Y64" s="424"/>
    </row>
    <row r="66" spans="1:26" ht="13.8" thickBot="1" x14ac:dyDescent="0.3">
      <c r="A66" s="492" t="s">
        <v>182</v>
      </c>
    </row>
    <row r="67" spans="1:26" ht="13.8" thickBot="1" x14ac:dyDescent="0.3">
      <c r="A67" s="416" t="s">
        <v>112</v>
      </c>
      <c r="B67" s="414">
        <f>ROW(A67)</f>
        <v>67</v>
      </c>
      <c r="C67" s="418" t="s">
        <v>116</v>
      </c>
      <c r="D67" s="408">
        <f>SUM(B70:Y70)</f>
        <v>2.65</v>
      </c>
      <c r="E67" s="418" t="s">
        <v>115</v>
      </c>
      <c r="F67" s="409">
        <f>D67/g/J67</f>
        <v>54.026503567787969</v>
      </c>
      <c r="G67" s="418" t="s">
        <v>57</v>
      </c>
      <c r="H67" s="86">
        <v>1.4999999999999999E-2</v>
      </c>
      <c r="I67" s="418" t="s">
        <v>272</v>
      </c>
      <c r="J67" s="410">
        <f>H67-L67</f>
        <v>4.9999999999999992E-3</v>
      </c>
      <c r="K67" s="418" t="s">
        <v>273</v>
      </c>
      <c r="L67" s="86">
        <v>0.01</v>
      </c>
      <c r="M67" s="418" t="s">
        <v>58</v>
      </c>
      <c r="N67" s="87">
        <v>30</v>
      </c>
      <c r="O67" s="418" t="s">
        <v>60</v>
      </c>
      <c r="P67" s="87">
        <v>30</v>
      </c>
      <c r="Q67" s="418" t="s">
        <v>61</v>
      </c>
      <c r="R67" s="87">
        <v>70</v>
      </c>
      <c r="S67" s="418" t="s">
        <v>62</v>
      </c>
      <c r="T67" s="87">
        <v>15</v>
      </c>
      <c r="U67" s="418" t="s">
        <v>55</v>
      </c>
      <c r="V67" s="88" t="s">
        <v>118</v>
      </c>
      <c r="W67" s="547" t="s">
        <v>396</v>
      </c>
      <c r="X67" s="549">
        <v>0.32</v>
      </c>
      <c r="Y67" s="547" t="s">
        <v>395</v>
      </c>
      <c r="Z67" s="413">
        <v>3</v>
      </c>
    </row>
    <row r="68" spans="1:26" x14ac:dyDescent="0.25">
      <c r="A68" s="417" t="s">
        <v>33</v>
      </c>
      <c r="B68" s="425">
        <v>0</v>
      </c>
      <c r="C68" s="426">
        <v>0.2</v>
      </c>
      <c r="D68" s="426">
        <v>0.3</v>
      </c>
      <c r="E68" s="426">
        <v>0.4</v>
      </c>
      <c r="F68" s="426">
        <v>0.5</v>
      </c>
      <c r="G68" s="426">
        <v>0.55000000000000004</v>
      </c>
      <c r="H68" s="426">
        <v>0.6</v>
      </c>
      <c r="I68" s="426">
        <v>0.6</v>
      </c>
      <c r="J68" s="426">
        <v>0.6</v>
      </c>
      <c r="K68" s="426">
        <v>0.6</v>
      </c>
      <c r="L68" s="426">
        <v>0.6</v>
      </c>
      <c r="M68" s="426">
        <v>0.6</v>
      </c>
      <c r="N68" s="426">
        <v>0.6</v>
      </c>
      <c r="O68" s="426">
        <v>0.6</v>
      </c>
      <c r="P68" s="426">
        <v>0.6</v>
      </c>
      <c r="Q68" s="426">
        <v>0.6</v>
      </c>
      <c r="R68" s="426">
        <v>0.6</v>
      </c>
      <c r="S68" s="426">
        <v>0.6</v>
      </c>
      <c r="T68" s="426">
        <v>0.6</v>
      </c>
      <c r="U68" s="426">
        <v>0.6</v>
      </c>
      <c r="V68" s="426">
        <v>0.6</v>
      </c>
      <c r="W68" s="426">
        <v>0.6</v>
      </c>
      <c r="X68" s="426">
        <v>0.6</v>
      </c>
      <c r="Y68" s="437">
        <v>1000</v>
      </c>
    </row>
    <row r="69" spans="1:26" x14ac:dyDescent="0.25">
      <c r="A69" s="434" t="s">
        <v>34</v>
      </c>
      <c r="B69" s="427">
        <v>0</v>
      </c>
      <c r="C69" s="428">
        <v>9</v>
      </c>
      <c r="D69" s="428">
        <v>4.5</v>
      </c>
      <c r="E69" s="428">
        <v>4</v>
      </c>
      <c r="F69" s="428">
        <v>4</v>
      </c>
      <c r="G69" s="428">
        <v>3</v>
      </c>
      <c r="H69" s="428">
        <v>0</v>
      </c>
      <c r="I69" s="428">
        <v>0</v>
      </c>
      <c r="J69" s="428">
        <v>0</v>
      </c>
      <c r="K69" s="428">
        <v>0</v>
      </c>
      <c r="L69" s="428">
        <v>0</v>
      </c>
      <c r="M69" s="428">
        <v>0</v>
      </c>
      <c r="N69" s="428">
        <v>0</v>
      </c>
      <c r="O69" s="428">
        <v>0</v>
      </c>
      <c r="P69" s="428">
        <v>0</v>
      </c>
      <c r="Q69" s="428">
        <v>0</v>
      </c>
      <c r="R69" s="428">
        <v>0</v>
      </c>
      <c r="S69" s="428">
        <v>0</v>
      </c>
      <c r="T69" s="428">
        <v>0</v>
      </c>
      <c r="U69" s="428">
        <v>0</v>
      </c>
      <c r="V69" s="428">
        <v>0</v>
      </c>
      <c r="W69" s="428">
        <v>0</v>
      </c>
      <c r="X69" s="428">
        <v>0</v>
      </c>
      <c r="Y69" s="438">
        <v>0</v>
      </c>
    </row>
    <row r="70" spans="1:26" ht="13.8" thickBot="1" x14ac:dyDescent="0.3">
      <c r="A70" s="435" t="s">
        <v>117</v>
      </c>
      <c r="B70" s="429">
        <f t="shared" ref="B70:X70" si="10">(C69+B69)*(C68-B68)/2</f>
        <v>0.9</v>
      </c>
      <c r="C70" s="430">
        <f t="shared" si="10"/>
        <v>0.67499999999999982</v>
      </c>
      <c r="D70" s="430">
        <f t="shared" si="10"/>
        <v>0.42500000000000016</v>
      </c>
      <c r="E70" s="430">
        <f t="shared" si="10"/>
        <v>0.39999999999999991</v>
      </c>
      <c r="F70" s="430">
        <f t="shared" si="10"/>
        <v>0.17500000000000016</v>
      </c>
      <c r="G70" s="430">
        <f t="shared" si="10"/>
        <v>7.49999999999999E-2</v>
      </c>
      <c r="H70" s="430">
        <f t="shared" si="10"/>
        <v>0</v>
      </c>
      <c r="I70" s="430">
        <f t="shared" si="10"/>
        <v>0</v>
      </c>
      <c r="J70" s="430">
        <f t="shared" si="10"/>
        <v>0</v>
      </c>
      <c r="K70" s="430">
        <f t="shared" si="10"/>
        <v>0</v>
      </c>
      <c r="L70" s="430">
        <f t="shared" si="10"/>
        <v>0</v>
      </c>
      <c r="M70" s="430">
        <f t="shared" si="10"/>
        <v>0</v>
      </c>
      <c r="N70" s="430">
        <f t="shared" si="10"/>
        <v>0</v>
      </c>
      <c r="O70" s="430">
        <f t="shared" si="10"/>
        <v>0</v>
      </c>
      <c r="P70" s="430">
        <f t="shared" si="10"/>
        <v>0</v>
      </c>
      <c r="Q70" s="430">
        <f t="shared" si="10"/>
        <v>0</v>
      </c>
      <c r="R70" s="430">
        <f t="shared" si="10"/>
        <v>0</v>
      </c>
      <c r="S70" s="430">
        <f t="shared" si="10"/>
        <v>0</v>
      </c>
      <c r="T70" s="430">
        <f t="shared" si="10"/>
        <v>0</v>
      </c>
      <c r="U70" s="430">
        <f t="shared" si="10"/>
        <v>0</v>
      </c>
      <c r="V70" s="430">
        <f t="shared" si="10"/>
        <v>0</v>
      </c>
      <c r="W70" s="430">
        <f t="shared" si="10"/>
        <v>0</v>
      </c>
      <c r="X70" s="430">
        <f t="shared" si="10"/>
        <v>0</v>
      </c>
      <c r="Y70" s="424"/>
    </row>
    <row r="71" spans="1:26" ht="13.8" thickBot="1" x14ac:dyDescent="0.3">
      <c r="A71" s="17"/>
      <c r="L71" s="17"/>
      <c r="M71" s="17"/>
      <c r="N71" s="17"/>
      <c r="O71" s="17"/>
      <c r="P71" s="17"/>
      <c r="Q71" s="17"/>
      <c r="R71" s="17"/>
      <c r="S71" s="17"/>
      <c r="T71" s="17"/>
      <c r="U71" s="17"/>
      <c r="V71" s="17"/>
      <c r="W71" s="17"/>
      <c r="X71" s="17"/>
      <c r="Y71" s="17"/>
    </row>
    <row r="72" spans="1:26" ht="13.8" thickBot="1" x14ac:dyDescent="0.3">
      <c r="A72" s="416" t="s">
        <v>113</v>
      </c>
      <c r="B72" s="414">
        <f>ROW(A72)</f>
        <v>72</v>
      </c>
      <c r="C72" s="418" t="s">
        <v>116</v>
      </c>
      <c r="D72" s="408">
        <f>SUM(B75:Y75)</f>
        <v>5.25</v>
      </c>
      <c r="E72" s="418" t="s">
        <v>115</v>
      </c>
      <c r="F72" s="409">
        <f>D72/g/J72</f>
        <v>89.1946992864424</v>
      </c>
      <c r="G72" s="418" t="s">
        <v>57</v>
      </c>
      <c r="H72" s="86">
        <v>0.02</v>
      </c>
      <c r="I72" s="418" t="s">
        <v>272</v>
      </c>
      <c r="J72" s="410">
        <f>H72-L72</f>
        <v>6.0000000000000001E-3</v>
      </c>
      <c r="K72" s="418" t="s">
        <v>273</v>
      </c>
      <c r="L72" s="86">
        <v>1.4E-2</v>
      </c>
      <c r="M72" s="418" t="s">
        <v>58</v>
      </c>
      <c r="N72" s="87">
        <v>30</v>
      </c>
      <c r="O72" s="418" t="s">
        <v>60</v>
      </c>
      <c r="P72" s="87">
        <v>30</v>
      </c>
      <c r="Q72" s="418" t="s">
        <v>61</v>
      </c>
      <c r="R72" s="87">
        <v>70</v>
      </c>
      <c r="S72" s="418" t="s">
        <v>62</v>
      </c>
      <c r="T72" s="87">
        <v>15</v>
      </c>
      <c r="U72" s="418" t="s">
        <v>55</v>
      </c>
      <c r="V72" s="88" t="s">
        <v>118</v>
      </c>
      <c r="W72" s="547" t="s">
        <v>396</v>
      </c>
      <c r="X72" s="549">
        <v>1.2</v>
      </c>
      <c r="Y72" s="547" t="s">
        <v>395</v>
      </c>
      <c r="Z72" s="413">
        <v>4</v>
      </c>
    </row>
    <row r="73" spans="1:26" x14ac:dyDescent="0.25">
      <c r="A73" s="417" t="s">
        <v>33</v>
      </c>
      <c r="B73" s="425">
        <v>0</v>
      </c>
      <c r="C73" s="426">
        <v>0.2</v>
      </c>
      <c r="D73" s="426">
        <v>0.3</v>
      </c>
      <c r="E73" s="426">
        <v>0.55000000000000004</v>
      </c>
      <c r="F73" s="426">
        <v>1.05</v>
      </c>
      <c r="G73" s="426">
        <v>1.1499999999999999</v>
      </c>
      <c r="H73" s="426">
        <v>1.1499999999999999</v>
      </c>
      <c r="I73" s="426">
        <v>1.1499999999999999</v>
      </c>
      <c r="J73" s="426">
        <v>1.1499999999999999</v>
      </c>
      <c r="K73" s="426">
        <v>1.1499999999999999</v>
      </c>
      <c r="L73" s="426">
        <v>1.1499999999999999</v>
      </c>
      <c r="M73" s="426">
        <v>1.1499999999999999</v>
      </c>
      <c r="N73" s="426">
        <v>1.1499999999999999</v>
      </c>
      <c r="O73" s="426">
        <v>1.1499999999999999</v>
      </c>
      <c r="P73" s="426">
        <v>1.1499999999999999</v>
      </c>
      <c r="Q73" s="426">
        <v>1.1499999999999999</v>
      </c>
      <c r="R73" s="426">
        <v>1.1499999999999999</v>
      </c>
      <c r="S73" s="426">
        <v>1.1499999999999999</v>
      </c>
      <c r="T73" s="426">
        <v>1.1499999999999999</v>
      </c>
      <c r="U73" s="426">
        <v>1.1499999999999999</v>
      </c>
      <c r="V73" s="426">
        <v>1.1499999999999999</v>
      </c>
      <c r="W73" s="426">
        <v>1.1499999999999999</v>
      </c>
      <c r="X73" s="426">
        <v>1.1499999999999999</v>
      </c>
      <c r="Y73" s="437">
        <v>1000</v>
      </c>
    </row>
    <row r="74" spans="1:26" x14ac:dyDescent="0.25">
      <c r="A74" s="434" t="s">
        <v>34</v>
      </c>
      <c r="B74" s="427">
        <v>0</v>
      </c>
      <c r="C74" s="428">
        <v>10</v>
      </c>
      <c r="D74" s="428">
        <v>6</v>
      </c>
      <c r="E74" s="428">
        <v>4</v>
      </c>
      <c r="F74" s="428">
        <v>4</v>
      </c>
      <c r="G74" s="428">
        <v>0</v>
      </c>
      <c r="H74" s="428">
        <v>0</v>
      </c>
      <c r="I74" s="428">
        <v>0</v>
      </c>
      <c r="J74" s="428">
        <v>0</v>
      </c>
      <c r="K74" s="428">
        <v>0</v>
      </c>
      <c r="L74" s="428">
        <v>0</v>
      </c>
      <c r="M74" s="428">
        <v>0</v>
      </c>
      <c r="N74" s="428">
        <v>0</v>
      </c>
      <c r="O74" s="428">
        <v>0</v>
      </c>
      <c r="P74" s="428">
        <v>0</v>
      </c>
      <c r="Q74" s="428">
        <v>0</v>
      </c>
      <c r="R74" s="428">
        <v>0</v>
      </c>
      <c r="S74" s="428">
        <v>0</v>
      </c>
      <c r="T74" s="428">
        <v>0</v>
      </c>
      <c r="U74" s="428">
        <v>0</v>
      </c>
      <c r="V74" s="428">
        <v>0</v>
      </c>
      <c r="W74" s="428">
        <v>0</v>
      </c>
      <c r="X74" s="428">
        <v>0</v>
      </c>
      <c r="Y74" s="438">
        <v>0</v>
      </c>
    </row>
    <row r="75" spans="1:26" ht="13.8" thickBot="1" x14ac:dyDescent="0.3">
      <c r="A75" s="435" t="s">
        <v>117</v>
      </c>
      <c r="B75" s="429">
        <f t="shared" ref="B75:V75" si="11">(C74+B74)*(C73-B73)/2</f>
        <v>1</v>
      </c>
      <c r="C75" s="430">
        <f t="shared" si="11"/>
        <v>0.79999999999999982</v>
      </c>
      <c r="D75" s="430">
        <f t="shared" si="11"/>
        <v>1.2500000000000002</v>
      </c>
      <c r="E75" s="430">
        <f t="shared" si="11"/>
        <v>2</v>
      </c>
      <c r="F75" s="430">
        <f t="shared" si="11"/>
        <v>0.19999999999999973</v>
      </c>
      <c r="G75" s="430">
        <f t="shared" si="11"/>
        <v>0</v>
      </c>
      <c r="H75" s="430">
        <f t="shared" si="11"/>
        <v>0</v>
      </c>
      <c r="I75" s="430">
        <f t="shared" si="11"/>
        <v>0</v>
      </c>
      <c r="J75" s="430">
        <f>(K74+J74)*(K73-J73)/2</f>
        <v>0</v>
      </c>
      <c r="K75" s="430">
        <f t="shared" si="11"/>
        <v>0</v>
      </c>
      <c r="L75" s="430">
        <f t="shared" si="11"/>
        <v>0</v>
      </c>
      <c r="M75" s="430">
        <f t="shared" si="11"/>
        <v>0</v>
      </c>
      <c r="N75" s="430">
        <f t="shared" si="11"/>
        <v>0</v>
      </c>
      <c r="O75" s="430">
        <f t="shared" si="11"/>
        <v>0</v>
      </c>
      <c r="P75" s="430">
        <f t="shared" si="11"/>
        <v>0</v>
      </c>
      <c r="Q75" s="430">
        <f t="shared" si="11"/>
        <v>0</v>
      </c>
      <c r="R75" s="430">
        <f t="shared" si="11"/>
        <v>0</v>
      </c>
      <c r="S75" s="430">
        <f>(T74+S74)*(T73-S73)/2</f>
        <v>0</v>
      </c>
      <c r="T75" s="430">
        <f t="shared" si="11"/>
        <v>0</v>
      </c>
      <c r="U75" s="430">
        <f t="shared" si="11"/>
        <v>0</v>
      </c>
      <c r="V75" s="430">
        <f t="shared" si="11"/>
        <v>0</v>
      </c>
      <c r="W75" s="430">
        <f>(X74+W74)*(X73-W73)/2</f>
        <v>0</v>
      </c>
      <c r="X75" s="430">
        <f>(Y74+X74)*(Y73-X73)/2</f>
        <v>0</v>
      </c>
      <c r="Y75" s="424"/>
    </row>
    <row r="76" spans="1:26" ht="13.8" thickBot="1" x14ac:dyDescent="0.3">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6" ht="13.8" thickBot="1" x14ac:dyDescent="0.3">
      <c r="A77" s="416" t="s">
        <v>114</v>
      </c>
      <c r="B77" s="414">
        <f>ROW(A77)</f>
        <v>77</v>
      </c>
      <c r="C77" s="418" t="s">
        <v>116</v>
      </c>
      <c r="D77" s="408">
        <f>SUM(B80:Y80)</f>
        <v>10.26</v>
      </c>
      <c r="E77" s="418" t="s">
        <v>115</v>
      </c>
      <c r="F77" s="409">
        <f>D77/g/J77</f>
        <v>80.451658433309802</v>
      </c>
      <c r="G77" s="418" t="s">
        <v>57</v>
      </c>
      <c r="H77" s="86">
        <v>2.4E-2</v>
      </c>
      <c r="I77" s="418" t="s">
        <v>272</v>
      </c>
      <c r="J77" s="410">
        <f>H77-L77</f>
        <v>1.3000000000000001E-2</v>
      </c>
      <c r="K77" s="418" t="s">
        <v>273</v>
      </c>
      <c r="L77" s="86">
        <v>1.0999999999999999E-2</v>
      </c>
      <c r="M77" s="418" t="s">
        <v>58</v>
      </c>
      <c r="N77" s="87">
        <v>30</v>
      </c>
      <c r="O77" s="418" t="s">
        <v>60</v>
      </c>
      <c r="P77" s="87">
        <v>30</v>
      </c>
      <c r="Q77" s="418" t="s">
        <v>61</v>
      </c>
      <c r="R77" s="87">
        <v>70</v>
      </c>
      <c r="S77" s="418" t="s">
        <v>62</v>
      </c>
      <c r="T77" s="87">
        <v>15</v>
      </c>
      <c r="U77" s="418" t="s">
        <v>55</v>
      </c>
      <c r="V77" s="88" t="s">
        <v>118</v>
      </c>
      <c r="W77" s="547" t="s">
        <v>396</v>
      </c>
      <c r="X77" s="549">
        <v>1.7</v>
      </c>
      <c r="Y77" s="547" t="s">
        <v>395</v>
      </c>
      <c r="Z77" s="413">
        <v>3</v>
      </c>
    </row>
    <row r="78" spans="1:26" x14ac:dyDescent="0.25">
      <c r="A78" s="417" t="s">
        <v>33</v>
      </c>
      <c r="B78" s="425">
        <v>0</v>
      </c>
      <c r="C78" s="426">
        <v>0.2</v>
      </c>
      <c r="D78" s="426">
        <v>0.3</v>
      </c>
      <c r="E78" s="426">
        <v>0.6</v>
      </c>
      <c r="F78" s="426">
        <v>0.8</v>
      </c>
      <c r="G78" s="426">
        <v>2</v>
      </c>
      <c r="H78" s="426">
        <v>2.1</v>
      </c>
      <c r="I78" s="426">
        <v>2.1</v>
      </c>
      <c r="J78" s="426">
        <v>2.1</v>
      </c>
      <c r="K78" s="426">
        <v>2.1</v>
      </c>
      <c r="L78" s="426">
        <v>2.1</v>
      </c>
      <c r="M78" s="426">
        <v>2.1</v>
      </c>
      <c r="N78" s="426">
        <v>2.1</v>
      </c>
      <c r="O78" s="426">
        <v>2.1</v>
      </c>
      <c r="P78" s="426">
        <v>2.1</v>
      </c>
      <c r="Q78" s="426">
        <v>2.1</v>
      </c>
      <c r="R78" s="426">
        <v>2.1</v>
      </c>
      <c r="S78" s="426">
        <v>2.1</v>
      </c>
      <c r="T78" s="426">
        <v>2.1</v>
      </c>
      <c r="U78" s="426">
        <v>2.1</v>
      </c>
      <c r="V78" s="426">
        <v>2.1</v>
      </c>
      <c r="W78" s="426">
        <v>2.1</v>
      </c>
      <c r="X78" s="426">
        <v>2.1</v>
      </c>
      <c r="Y78" s="437">
        <v>1000</v>
      </c>
    </row>
    <row r="79" spans="1:26" x14ac:dyDescent="0.25">
      <c r="A79" s="434" t="s">
        <v>34</v>
      </c>
      <c r="B79" s="427">
        <v>0</v>
      </c>
      <c r="C79" s="428">
        <v>11</v>
      </c>
      <c r="D79" s="428">
        <v>7</v>
      </c>
      <c r="E79" s="428">
        <v>4</v>
      </c>
      <c r="F79" s="428">
        <v>4.5999999999999996</v>
      </c>
      <c r="G79" s="428">
        <v>4.5999999999999996</v>
      </c>
      <c r="H79" s="428">
        <v>0</v>
      </c>
      <c r="I79" s="428">
        <v>0</v>
      </c>
      <c r="J79" s="428">
        <v>0</v>
      </c>
      <c r="K79" s="428">
        <v>0</v>
      </c>
      <c r="L79" s="428">
        <v>0</v>
      </c>
      <c r="M79" s="428">
        <v>0</v>
      </c>
      <c r="N79" s="428">
        <v>0</v>
      </c>
      <c r="O79" s="428">
        <v>0</v>
      </c>
      <c r="P79" s="428">
        <v>0</v>
      </c>
      <c r="Q79" s="428">
        <v>0</v>
      </c>
      <c r="R79" s="428">
        <v>0</v>
      </c>
      <c r="S79" s="428">
        <v>0</v>
      </c>
      <c r="T79" s="428">
        <v>0</v>
      </c>
      <c r="U79" s="428">
        <v>0</v>
      </c>
      <c r="V79" s="428">
        <v>0</v>
      </c>
      <c r="W79" s="428">
        <v>0</v>
      </c>
      <c r="X79" s="428">
        <v>0</v>
      </c>
      <c r="Y79" s="438">
        <v>0</v>
      </c>
    </row>
    <row r="80" spans="1:26" ht="13.8" thickBot="1" x14ac:dyDescent="0.3">
      <c r="A80" s="435" t="s">
        <v>117</v>
      </c>
      <c r="B80" s="429">
        <f t="shared" ref="B80:G80" si="12">(C79+B79)*(C78-B78)/2</f>
        <v>1.1000000000000001</v>
      </c>
      <c r="C80" s="430">
        <f t="shared" si="12"/>
        <v>0.8999999999999998</v>
      </c>
      <c r="D80" s="430">
        <f t="shared" si="12"/>
        <v>1.65</v>
      </c>
      <c r="E80" s="430">
        <f t="shared" si="12"/>
        <v>0.86000000000000021</v>
      </c>
      <c r="F80" s="430">
        <f t="shared" si="12"/>
        <v>5.52</v>
      </c>
      <c r="G80" s="430">
        <f t="shared" si="12"/>
        <v>0.23000000000000018</v>
      </c>
      <c r="H80" s="430">
        <f t="shared" ref="H80:V80" si="13">(I79+H79)*(I78-H78)/2</f>
        <v>0</v>
      </c>
      <c r="I80" s="430">
        <f t="shared" si="13"/>
        <v>0</v>
      </c>
      <c r="J80" s="430">
        <f>(K79+J79)*(K78-J78)/2</f>
        <v>0</v>
      </c>
      <c r="K80" s="430">
        <f t="shared" si="13"/>
        <v>0</v>
      </c>
      <c r="L80" s="430">
        <f t="shared" si="13"/>
        <v>0</v>
      </c>
      <c r="M80" s="430">
        <f t="shared" si="13"/>
        <v>0</v>
      </c>
      <c r="N80" s="430">
        <f t="shared" si="13"/>
        <v>0</v>
      </c>
      <c r="O80" s="430">
        <f t="shared" si="13"/>
        <v>0</v>
      </c>
      <c r="P80" s="430">
        <f t="shared" si="13"/>
        <v>0</v>
      </c>
      <c r="Q80" s="430">
        <f t="shared" si="13"/>
        <v>0</v>
      </c>
      <c r="R80" s="430">
        <f t="shared" si="13"/>
        <v>0</v>
      </c>
      <c r="S80" s="430">
        <f>(T79+S79)*(T78-S78)/2</f>
        <v>0</v>
      </c>
      <c r="T80" s="430">
        <f t="shared" si="13"/>
        <v>0</v>
      </c>
      <c r="U80" s="430">
        <f t="shared" si="13"/>
        <v>0</v>
      </c>
      <c r="V80" s="430">
        <f t="shared" si="13"/>
        <v>0</v>
      </c>
      <c r="W80" s="430">
        <f>(X79+W79)*(X78-W78)/2</f>
        <v>0</v>
      </c>
      <c r="X80" s="430">
        <f>(Y79+X79)*(Y78-X78)/2</f>
        <v>0</v>
      </c>
      <c r="Y80" s="424"/>
    </row>
    <row r="81" spans="1:26" ht="13.8" thickBot="1" x14ac:dyDescent="0.3">
      <c r="A81" s="17"/>
      <c r="L81" s="17"/>
      <c r="M81" s="17"/>
      <c r="N81" s="17"/>
      <c r="O81" s="17"/>
      <c r="P81" s="17"/>
      <c r="Q81" s="17"/>
      <c r="R81" s="17"/>
      <c r="S81" s="17"/>
      <c r="T81" s="17"/>
      <c r="U81" s="17"/>
      <c r="V81" s="17"/>
      <c r="W81" s="17"/>
      <c r="X81" s="17"/>
      <c r="Y81" s="17"/>
    </row>
    <row r="82" spans="1:26" ht="13.8" thickBot="1" x14ac:dyDescent="0.3">
      <c r="A82" s="416" t="s">
        <v>331</v>
      </c>
      <c r="B82" s="414">
        <f>ROW(A82)</f>
        <v>82</v>
      </c>
      <c r="C82" s="418" t="s">
        <v>116</v>
      </c>
      <c r="D82" s="408">
        <f>SUM(B85:Y85)</f>
        <v>20.52</v>
      </c>
      <c r="E82" s="418" t="s">
        <v>115</v>
      </c>
      <c r="F82" s="409">
        <f>D82/g/J82</f>
        <v>80.451658433309802</v>
      </c>
      <c r="G82" s="418" t="s">
        <v>57</v>
      </c>
      <c r="H82" s="86">
        <f>H77*2</f>
        <v>4.8000000000000001E-2</v>
      </c>
      <c r="I82" s="418" t="s">
        <v>272</v>
      </c>
      <c r="J82" s="410">
        <f>H82-L82</f>
        <v>2.6000000000000002E-2</v>
      </c>
      <c r="K82" s="418" t="s">
        <v>273</v>
      </c>
      <c r="L82" s="86">
        <f>L77*2</f>
        <v>2.1999999999999999E-2</v>
      </c>
      <c r="M82" s="418" t="s">
        <v>58</v>
      </c>
      <c r="N82" s="87">
        <v>30</v>
      </c>
      <c r="O82" s="418" t="s">
        <v>60</v>
      </c>
      <c r="P82" s="87">
        <v>30</v>
      </c>
      <c r="Q82" s="418" t="s">
        <v>61</v>
      </c>
      <c r="R82" s="87">
        <v>70</v>
      </c>
      <c r="S82" s="418" t="s">
        <v>62</v>
      </c>
      <c r="T82" s="87">
        <v>30</v>
      </c>
      <c r="U82" s="418" t="s">
        <v>55</v>
      </c>
      <c r="V82" s="88" t="s">
        <v>118</v>
      </c>
      <c r="W82" s="547" t="s">
        <v>396</v>
      </c>
      <c r="X82" s="549">
        <v>1.7</v>
      </c>
      <c r="Y82" s="547" t="s">
        <v>395</v>
      </c>
      <c r="Z82" s="413">
        <v>3</v>
      </c>
    </row>
    <row r="83" spans="1:26" x14ac:dyDescent="0.25">
      <c r="A83" s="417" t="s">
        <v>33</v>
      </c>
      <c r="B83" s="425">
        <v>0</v>
      </c>
      <c r="C83" s="426">
        <v>0.2</v>
      </c>
      <c r="D83" s="426">
        <v>0.3</v>
      </c>
      <c r="E83" s="426">
        <v>0.6</v>
      </c>
      <c r="F83" s="426">
        <v>0.8</v>
      </c>
      <c r="G83" s="426">
        <v>2</v>
      </c>
      <c r="H83" s="426">
        <v>2.1</v>
      </c>
      <c r="I83" s="426">
        <v>2.1</v>
      </c>
      <c r="J83" s="426">
        <v>2.1</v>
      </c>
      <c r="K83" s="426">
        <v>2.1</v>
      </c>
      <c r="L83" s="426">
        <v>2.1</v>
      </c>
      <c r="M83" s="426">
        <v>2.1</v>
      </c>
      <c r="N83" s="426">
        <v>2.1</v>
      </c>
      <c r="O83" s="426">
        <v>2.1</v>
      </c>
      <c r="P83" s="426">
        <v>2.1</v>
      </c>
      <c r="Q83" s="426">
        <v>2.1</v>
      </c>
      <c r="R83" s="426">
        <v>2.1</v>
      </c>
      <c r="S83" s="426">
        <v>2.1</v>
      </c>
      <c r="T83" s="426">
        <v>2.1</v>
      </c>
      <c r="U83" s="426">
        <v>2.1</v>
      </c>
      <c r="V83" s="426">
        <v>2.1</v>
      </c>
      <c r="W83" s="426">
        <v>2.1</v>
      </c>
      <c r="X83" s="426">
        <v>2.1</v>
      </c>
      <c r="Y83" s="437">
        <v>1000</v>
      </c>
    </row>
    <row r="84" spans="1:26" x14ac:dyDescent="0.25">
      <c r="A84" s="434" t="s">
        <v>34</v>
      </c>
      <c r="B84" s="427">
        <f>B79*2</f>
        <v>0</v>
      </c>
      <c r="C84" s="428">
        <f t="shared" ref="C84:X84" si="14">C79*2</f>
        <v>22</v>
      </c>
      <c r="D84" s="428">
        <f t="shared" si="14"/>
        <v>14</v>
      </c>
      <c r="E84" s="428">
        <f t="shared" si="14"/>
        <v>8</v>
      </c>
      <c r="F84" s="428">
        <f t="shared" si="14"/>
        <v>9.1999999999999993</v>
      </c>
      <c r="G84" s="428">
        <f t="shared" si="14"/>
        <v>9.1999999999999993</v>
      </c>
      <c r="H84" s="428">
        <f t="shared" si="14"/>
        <v>0</v>
      </c>
      <c r="I84" s="428">
        <f t="shared" si="14"/>
        <v>0</v>
      </c>
      <c r="J84" s="428">
        <f t="shared" si="14"/>
        <v>0</v>
      </c>
      <c r="K84" s="428">
        <f t="shared" si="14"/>
        <v>0</v>
      </c>
      <c r="L84" s="428">
        <f t="shared" si="14"/>
        <v>0</v>
      </c>
      <c r="M84" s="428">
        <f t="shared" si="14"/>
        <v>0</v>
      </c>
      <c r="N84" s="428">
        <f t="shared" si="14"/>
        <v>0</v>
      </c>
      <c r="O84" s="428">
        <f t="shared" si="14"/>
        <v>0</v>
      </c>
      <c r="P84" s="428">
        <f t="shared" si="14"/>
        <v>0</v>
      </c>
      <c r="Q84" s="428">
        <f t="shared" si="14"/>
        <v>0</v>
      </c>
      <c r="R84" s="428">
        <f t="shared" si="14"/>
        <v>0</v>
      </c>
      <c r="S84" s="428">
        <f t="shared" si="14"/>
        <v>0</v>
      </c>
      <c r="T84" s="428">
        <f t="shared" si="14"/>
        <v>0</v>
      </c>
      <c r="U84" s="428">
        <f t="shared" si="14"/>
        <v>0</v>
      </c>
      <c r="V84" s="428">
        <f t="shared" si="14"/>
        <v>0</v>
      </c>
      <c r="W84" s="428">
        <f t="shared" si="14"/>
        <v>0</v>
      </c>
      <c r="X84" s="428">
        <f t="shared" si="14"/>
        <v>0</v>
      </c>
      <c r="Y84" s="438">
        <v>0</v>
      </c>
    </row>
    <row r="85" spans="1:26" ht="13.8" thickBot="1" x14ac:dyDescent="0.3">
      <c r="A85" s="435" t="s">
        <v>117</v>
      </c>
      <c r="B85" s="429">
        <f t="shared" ref="B85:X85" si="15">(C84+B84)*(C83-B83)/2</f>
        <v>2.2000000000000002</v>
      </c>
      <c r="C85" s="430">
        <f t="shared" si="15"/>
        <v>1.7999999999999996</v>
      </c>
      <c r="D85" s="430">
        <f t="shared" si="15"/>
        <v>3.3</v>
      </c>
      <c r="E85" s="430">
        <f t="shared" si="15"/>
        <v>1.7200000000000004</v>
      </c>
      <c r="F85" s="430">
        <f t="shared" si="15"/>
        <v>11.04</v>
      </c>
      <c r="G85" s="430">
        <f t="shared" si="15"/>
        <v>0.46000000000000035</v>
      </c>
      <c r="H85" s="430">
        <f t="shared" si="15"/>
        <v>0</v>
      </c>
      <c r="I85" s="430">
        <f t="shared" si="15"/>
        <v>0</v>
      </c>
      <c r="J85" s="430">
        <f t="shared" si="15"/>
        <v>0</v>
      </c>
      <c r="K85" s="430">
        <f t="shared" si="15"/>
        <v>0</v>
      </c>
      <c r="L85" s="430">
        <f t="shared" si="15"/>
        <v>0</v>
      </c>
      <c r="M85" s="430">
        <f t="shared" si="15"/>
        <v>0</v>
      </c>
      <c r="N85" s="430">
        <f t="shared" si="15"/>
        <v>0</v>
      </c>
      <c r="O85" s="430">
        <f t="shared" si="15"/>
        <v>0</v>
      </c>
      <c r="P85" s="430">
        <f t="shared" si="15"/>
        <v>0</v>
      </c>
      <c r="Q85" s="430">
        <f t="shared" si="15"/>
        <v>0</v>
      </c>
      <c r="R85" s="430">
        <f t="shared" si="15"/>
        <v>0</v>
      </c>
      <c r="S85" s="430">
        <f t="shared" si="15"/>
        <v>0</v>
      </c>
      <c r="T85" s="430">
        <f t="shared" si="15"/>
        <v>0</v>
      </c>
      <c r="U85" s="430">
        <f t="shared" si="15"/>
        <v>0</v>
      </c>
      <c r="V85" s="430">
        <f t="shared" si="15"/>
        <v>0</v>
      </c>
      <c r="W85" s="430">
        <f t="shared" si="15"/>
        <v>0</v>
      </c>
      <c r="X85" s="430">
        <f t="shared" si="15"/>
        <v>0</v>
      </c>
      <c r="Y85" s="424"/>
    </row>
    <row r="86" spans="1:26" ht="13.8" thickBot="1" x14ac:dyDescent="0.3">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6" ht="13.8" thickBot="1" x14ac:dyDescent="0.3">
      <c r="A87" s="416" t="s">
        <v>332</v>
      </c>
      <c r="B87" s="414">
        <f>ROW(A87)</f>
        <v>87</v>
      </c>
      <c r="C87" s="418" t="s">
        <v>116</v>
      </c>
      <c r="D87" s="408">
        <f>SUM(B90:Y90)</f>
        <v>30.779999999999998</v>
      </c>
      <c r="E87" s="418" t="s">
        <v>115</v>
      </c>
      <c r="F87" s="409">
        <f>D87/g/J87</f>
        <v>80.451658433309774</v>
      </c>
      <c r="G87" s="418" t="s">
        <v>57</v>
      </c>
      <c r="H87" s="86">
        <f>H77*3</f>
        <v>7.2000000000000008E-2</v>
      </c>
      <c r="I87" s="418" t="s">
        <v>272</v>
      </c>
      <c r="J87" s="410">
        <f>H87-L87</f>
        <v>3.9000000000000007E-2</v>
      </c>
      <c r="K87" s="418" t="s">
        <v>273</v>
      </c>
      <c r="L87" s="86">
        <f>L77*3</f>
        <v>3.3000000000000002E-2</v>
      </c>
      <c r="M87" s="418" t="s">
        <v>58</v>
      </c>
      <c r="N87" s="87">
        <v>30</v>
      </c>
      <c r="O87" s="418" t="s">
        <v>60</v>
      </c>
      <c r="P87" s="87">
        <v>30</v>
      </c>
      <c r="Q87" s="418" t="s">
        <v>61</v>
      </c>
      <c r="R87" s="87">
        <v>70</v>
      </c>
      <c r="S87" s="418" t="s">
        <v>62</v>
      </c>
      <c r="T87" s="87">
        <v>40</v>
      </c>
      <c r="U87" s="418" t="s">
        <v>55</v>
      </c>
      <c r="V87" s="88" t="s">
        <v>118</v>
      </c>
      <c r="W87" s="547" t="s">
        <v>396</v>
      </c>
      <c r="X87" s="549">
        <v>1.7</v>
      </c>
      <c r="Y87" s="547" t="s">
        <v>395</v>
      </c>
      <c r="Z87" s="413">
        <v>3</v>
      </c>
    </row>
    <row r="88" spans="1:26" x14ac:dyDescent="0.25">
      <c r="A88" s="417" t="s">
        <v>33</v>
      </c>
      <c r="B88" s="425">
        <v>0</v>
      </c>
      <c r="C88" s="426">
        <v>0.2</v>
      </c>
      <c r="D88" s="426">
        <v>0.3</v>
      </c>
      <c r="E88" s="426">
        <v>0.6</v>
      </c>
      <c r="F88" s="426">
        <v>0.8</v>
      </c>
      <c r="G88" s="426">
        <v>2</v>
      </c>
      <c r="H88" s="426">
        <v>2.1</v>
      </c>
      <c r="I88" s="426">
        <v>2.1</v>
      </c>
      <c r="J88" s="426">
        <v>2.1</v>
      </c>
      <c r="K88" s="426">
        <v>2.1</v>
      </c>
      <c r="L88" s="426">
        <v>2.1</v>
      </c>
      <c r="M88" s="426">
        <v>2.1</v>
      </c>
      <c r="N88" s="426">
        <v>2.1</v>
      </c>
      <c r="O88" s="426">
        <v>2.1</v>
      </c>
      <c r="P88" s="426">
        <v>2.1</v>
      </c>
      <c r="Q88" s="426">
        <v>2.1</v>
      </c>
      <c r="R88" s="426">
        <v>2.1</v>
      </c>
      <c r="S88" s="426">
        <v>2.1</v>
      </c>
      <c r="T88" s="426">
        <v>2.1</v>
      </c>
      <c r="U88" s="426">
        <v>2.1</v>
      </c>
      <c r="V88" s="426">
        <v>2.1</v>
      </c>
      <c r="W88" s="426">
        <v>2.1</v>
      </c>
      <c r="X88" s="426">
        <v>2.1</v>
      </c>
      <c r="Y88" s="437">
        <v>1000</v>
      </c>
    </row>
    <row r="89" spans="1:26" x14ac:dyDescent="0.25">
      <c r="A89" s="434" t="s">
        <v>34</v>
      </c>
      <c r="B89" s="427">
        <f>B79*3</f>
        <v>0</v>
      </c>
      <c r="C89" s="428">
        <f t="shared" ref="C89:X89" si="16">C79*3</f>
        <v>33</v>
      </c>
      <c r="D89" s="428">
        <f t="shared" si="16"/>
        <v>21</v>
      </c>
      <c r="E89" s="428">
        <f t="shared" si="16"/>
        <v>12</v>
      </c>
      <c r="F89" s="428">
        <f t="shared" si="16"/>
        <v>13.799999999999999</v>
      </c>
      <c r="G89" s="428">
        <f t="shared" si="16"/>
        <v>13.799999999999999</v>
      </c>
      <c r="H89" s="428">
        <f t="shared" si="16"/>
        <v>0</v>
      </c>
      <c r="I89" s="428">
        <f t="shared" si="16"/>
        <v>0</v>
      </c>
      <c r="J89" s="428">
        <f t="shared" si="16"/>
        <v>0</v>
      </c>
      <c r="K89" s="428">
        <f t="shared" si="16"/>
        <v>0</v>
      </c>
      <c r="L89" s="428">
        <f t="shared" si="16"/>
        <v>0</v>
      </c>
      <c r="M89" s="428">
        <f t="shared" si="16"/>
        <v>0</v>
      </c>
      <c r="N89" s="428">
        <f t="shared" si="16"/>
        <v>0</v>
      </c>
      <c r="O89" s="428">
        <f t="shared" si="16"/>
        <v>0</v>
      </c>
      <c r="P89" s="428">
        <f t="shared" si="16"/>
        <v>0</v>
      </c>
      <c r="Q89" s="428">
        <f t="shared" si="16"/>
        <v>0</v>
      </c>
      <c r="R89" s="428">
        <f t="shared" si="16"/>
        <v>0</v>
      </c>
      <c r="S89" s="428">
        <f t="shared" si="16"/>
        <v>0</v>
      </c>
      <c r="T89" s="428">
        <f t="shared" si="16"/>
        <v>0</v>
      </c>
      <c r="U89" s="428">
        <f t="shared" si="16"/>
        <v>0</v>
      </c>
      <c r="V89" s="428">
        <f t="shared" si="16"/>
        <v>0</v>
      </c>
      <c r="W89" s="428">
        <f t="shared" si="16"/>
        <v>0</v>
      </c>
      <c r="X89" s="428">
        <f t="shared" si="16"/>
        <v>0</v>
      </c>
      <c r="Y89" s="438">
        <v>0</v>
      </c>
    </row>
    <row r="90" spans="1:26" ht="13.8" thickBot="1" x14ac:dyDescent="0.3">
      <c r="A90" s="435" t="s">
        <v>117</v>
      </c>
      <c r="B90" s="429">
        <f t="shared" ref="B90:X90" si="17">(C89+B89)*(C88-B88)/2</f>
        <v>3.3000000000000003</v>
      </c>
      <c r="C90" s="430">
        <f t="shared" si="17"/>
        <v>2.6999999999999993</v>
      </c>
      <c r="D90" s="430">
        <f t="shared" si="17"/>
        <v>4.95</v>
      </c>
      <c r="E90" s="430">
        <f t="shared" si="17"/>
        <v>2.5800000000000005</v>
      </c>
      <c r="F90" s="430">
        <f t="shared" si="17"/>
        <v>16.559999999999999</v>
      </c>
      <c r="G90" s="430">
        <f t="shared" si="17"/>
        <v>0.69000000000000061</v>
      </c>
      <c r="H90" s="430">
        <f t="shared" si="17"/>
        <v>0</v>
      </c>
      <c r="I90" s="430">
        <f t="shared" si="17"/>
        <v>0</v>
      </c>
      <c r="J90" s="430">
        <f t="shared" si="17"/>
        <v>0</v>
      </c>
      <c r="K90" s="430">
        <f t="shared" si="17"/>
        <v>0</v>
      </c>
      <c r="L90" s="430">
        <f t="shared" si="17"/>
        <v>0</v>
      </c>
      <c r="M90" s="430">
        <f t="shared" si="17"/>
        <v>0</v>
      </c>
      <c r="N90" s="430">
        <f t="shared" si="17"/>
        <v>0</v>
      </c>
      <c r="O90" s="430">
        <f t="shared" si="17"/>
        <v>0</v>
      </c>
      <c r="P90" s="430">
        <f t="shared" si="17"/>
        <v>0</v>
      </c>
      <c r="Q90" s="430">
        <f t="shared" si="17"/>
        <v>0</v>
      </c>
      <c r="R90" s="430">
        <f t="shared" si="17"/>
        <v>0</v>
      </c>
      <c r="S90" s="430">
        <f t="shared" si="17"/>
        <v>0</v>
      </c>
      <c r="T90" s="430">
        <f t="shared" si="17"/>
        <v>0</v>
      </c>
      <c r="U90" s="430">
        <f t="shared" si="17"/>
        <v>0</v>
      </c>
      <c r="V90" s="430">
        <f t="shared" si="17"/>
        <v>0</v>
      </c>
      <c r="W90" s="430">
        <f t="shared" si="17"/>
        <v>0</v>
      </c>
      <c r="X90" s="430">
        <f t="shared" si="17"/>
        <v>0</v>
      </c>
      <c r="Y90" s="424"/>
    </row>
    <row r="91" spans="1:26" ht="13.8" thickBot="1" x14ac:dyDescent="0.3">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6" ht="13.8" thickBot="1" x14ac:dyDescent="0.3">
      <c r="A92" s="416" t="s">
        <v>543</v>
      </c>
      <c r="B92" s="414">
        <f>ROW(A92)</f>
        <v>92</v>
      </c>
      <c r="C92" s="418" t="s">
        <v>116</v>
      </c>
      <c r="D92" s="408">
        <f>SUM(B95:Y95)</f>
        <v>19.961989000000003</v>
      </c>
      <c r="E92" s="418" t="s">
        <v>115</v>
      </c>
      <c r="F92" s="409">
        <f>D92/g/J92</f>
        <v>118.30588744280873</v>
      </c>
      <c r="G92" s="418" t="s">
        <v>57</v>
      </c>
      <c r="H92" s="86">
        <v>2.8199999999999999E-2</v>
      </c>
      <c r="I92" s="418" t="s">
        <v>272</v>
      </c>
      <c r="J92" s="410">
        <f>H92-L92</f>
        <v>1.72E-2</v>
      </c>
      <c r="K92" s="418" t="s">
        <v>273</v>
      </c>
      <c r="L92" s="86">
        <v>1.0999999999999999E-2</v>
      </c>
      <c r="M92" s="418" t="s">
        <v>58</v>
      </c>
      <c r="N92" s="87">
        <v>30</v>
      </c>
      <c r="O92" s="418" t="s">
        <v>60</v>
      </c>
      <c r="P92" s="87">
        <v>30</v>
      </c>
      <c r="Q92" s="418" t="s">
        <v>61</v>
      </c>
      <c r="R92" s="87">
        <v>70</v>
      </c>
      <c r="S92" s="418" t="s">
        <v>62</v>
      </c>
      <c r="T92" s="87">
        <v>18</v>
      </c>
      <c r="U92" s="418" t="s">
        <v>55</v>
      </c>
      <c r="V92" s="88" t="s">
        <v>403</v>
      </c>
      <c r="W92" s="547" t="s">
        <v>396</v>
      </c>
      <c r="X92" s="549">
        <v>2.1</v>
      </c>
      <c r="Y92" s="547" t="s">
        <v>395</v>
      </c>
      <c r="Z92" s="413">
        <v>7</v>
      </c>
    </row>
    <row r="93" spans="1:26" x14ac:dyDescent="0.25">
      <c r="A93" s="417" t="s">
        <v>33</v>
      </c>
      <c r="B93" s="425">
        <v>0</v>
      </c>
      <c r="C93" s="557">
        <v>0.04</v>
      </c>
      <c r="D93" s="557">
        <v>0.11600000000000001</v>
      </c>
      <c r="E93" s="557">
        <v>0.21299999999999999</v>
      </c>
      <c r="F93" s="557">
        <v>0.28599999999999998</v>
      </c>
      <c r="G93" s="557">
        <v>0.32900000000000001</v>
      </c>
      <c r="H93" s="557">
        <v>0.36899999999999999</v>
      </c>
      <c r="I93" s="557">
        <v>0.42</v>
      </c>
      <c r="J93" s="557">
        <v>0.495</v>
      </c>
      <c r="K93" s="557">
        <v>0.59699999999999998</v>
      </c>
      <c r="L93" s="557">
        <v>1.7110000000000001</v>
      </c>
      <c r="M93" s="557">
        <v>1.8260000000000001</v>
      </c>
      <c r="N93" s="557">
        <v>1.917</v>
      </c>
      <c r="O93" s="557">
        <v>1.9750000000000001</v>
      </c>
      <c r="P93" s="557">
        <v>2.206</v>
      </c>
      <c r="Q93" s="557">
        <v>2.242</v>
      </c>
      <c r="R93" s="426">
        <v>2.5</v>
      </c>
      <c r="S93" s="426">
        <v>2.5</v>
      </c>
      <c r="T93" s="426">
        <v>2.5</v>
      </c>
      <c r="U93" s="426">
        <v>2.5</v>
      </c>
      <c r="V93" s="426">
        <v>2.5</v>
      </c>
      <c r="W93" s="426">
        <v>2.5</v>
      </c>
      <c r="X93" s="426">
        <v>2.5</v>
      </c>
      <c r="Y93" s="437">
        <v>1000</v>
      </c>
    </row>
    <row r="94" spans="1:26" x14ac:dyDescent="0.25">
      <c r="A94" s="434" t="s">
        <v>34</v>
      </c>
      <c r="B94" s="427">
        <v>0</v>
      </c>
      <c r="C94" s="557">
        <v>2.1110000000000002</v>
      </c>
      <c r="D94" s="557">
        <v>9.6850000000000005</v>
      </c>
      <c r="E94" s="557">
        <v>25</v>
      </c>
      <c r="F94" s="557">
        <v>15.738</v>
      </c>
      <c r="G94" s="557">
        <v>12.472</v>
      </c>
      <c r="H94" s="557">
        <v>10.67</v>
      </c>
      <c r="I94" s="557">
        <v>9.7129999999999992</v>
      </c>
      <c r="J94" s="557">
        <v>9.1780000000000008</v>
      </c>
      <c r="K94" s="557">
        <v>8.8960000000000008</v>
      </c>
      <c r="L94" s="557">
        <v>8.9250000000000007</v>
      </c>
      <c r="M94" s="557">
        <v>8.6989999999999998</v>
      </c>
      <c r="N94" s="557">
        <v>8.0519999999999996</v>
      </c>
      <c r="O94" s="557">
        <v>6.9539999999999997</v>
      </c>
      <c r="P94" s="557">
        <v>1.07</v>
      </c>
      <c r="Q94" s="557">
        <v>0</v>
      </c>
      <c r="R94" s="428">
        <v>0</v>
      </c>
      <c r="S94" s="428">
        <v>0</v>
      </c>
      <c r="T94" s="428">
        <v>0</v>
      </c>
      <c r="U94" s="428">
        <v>0</v>
      </c>
      <c r="V94" s="428">
        <v>0</v>
      </c>
      <c r="W94" s="428">
        <v>0</v>
      </c>
      <c r="X94" s="428">
        <v>0</v>
      </c>
      <c r="Y94" s="438">
        <v>0</v>
      </c>
    </row>
    <row r="95" spans="1:26" ht="13.8" thickBot="1" x14ac:dyDescent="0.3">
      <c r="A95" s="435" t="s">
        <v>117</v>
      </c>
      <c r="B95" s="429">
        <f t="shared" ref="B95:X95" si="18">(C94+B94)*(C93-B93)/2</f>
        <v>4.2220000000000008E-2</v>
      </c>
      <c r="C95" s="430">
        <f t="shared" si="18"/>
        <v>0.44824800000000009</v>
      </c>
      <c r="D95" s="430">
        <f t="shared" si="18"/>
        <v>1.6822225</v>
      </c>
      <c r="E95" s="430">
        <f t="shared" si="18"/>
        <v>1.4869369999999995</v>
      </c>
      <c r="F95" s="430">
        <f t="shared" si="18"/>
        <v>0.60651500000000058</v>
      </c>
      <c r="G95" s="430">
        <f t="shared" si="18"/>
        <v>0.46283999999999975</v>
      </c>
      <c r="H95" s="430">
        <f t="shared" si="18"/>
        <v>0.51976649999999991</v>
      </c>
      <c r="I95" s="430">
        <f t="shared" si="18"/>
        <v>0.7084125</v>
      </c>
      <c r="J95" s="430">
        <f t="shared" si="18"/>
        <v>0.92177399999999987</v>
      </c>
      <c r="K95" s="430">
        <f t="shared" si="18"/>
        <v>9.9262970000000017</v>
      </c>
      <c r="L95" s="430">
        <f t="shared" si="18"/>
        <v>1.0133799999999999</v>
      </c>
      <c r="M95" s="430">
        <f t="shared" si="18"/>
        <v>0.76217049999999964</v>
      </c>
      <c r="N95" s="430">
        <f t="shared" si="18"/>
        <v>0.43517400000000039</v>
      </c>
      <c r="O95" s="430">
        <f t="shared" si="18"/>
        <v>0.92677199999999937</v>
      </c>
      <c r="P95" s="430">
        <f t="shared" si="18"/>
        <v>1.9260000000000017E-2</v>
      </c>
      <c r="Q95" s="430">
        <f t="shared" si="18"/>
        <v>0</v>
      </c>
      <c r="R95" s="430">
        <f t="shared" si="18"/>
        <v>0</v>
      </c>
      <c r="S95" s="430">
        <f t="shared" si="18"/>
        <v>0</v>
      </c>
      <c r="T95" s="430">
        <f t="shared" si="18"/>
        <v>0</v>
      </c>
      <c r="U95" s="430">
        <f t="shared" si="18"/>
        <v>0</v>
      </c>
      <c r="V95" s="430">
        <f t="shared" si="18"/>
        <v>0</v>
      </c>
      <c r="W95" s="430">
        <f t="shared" si="18"/>
        <v>0</v>
      </c>
      <c r="X95" s="430">
        <f t="shared" si="18"/>
        <v>0</v>
      </c>
      <c r="Y95" s="424"/>
    </row>
    <row r="96" spans="1:26" ht="13.8" thickBot="1" x14ac:dyDescent="0.3">
      <c r="A96" s="17"/>
      <c r="L96" s="17"/>
      <c r="M96" s="17"/>
      <c r="N96" s="17"/>
      <c r="O96" s="17"/>
      <c r="P96" s="17"/>
      <c r="Q96" s="17"/>
      <c r="R96" s="17"/>
      <c r="S96" s="17"/>
      <c r="T96" s="17"/>
      <c r="U96" s="17"/>
      <c r="V96" s="17"/>
      <c r="W96" s="17"/>
      <c r="X96" s="17"/>
      <c r="Y96" s="17"/>
    </row>
    <row r="97" spans="1:26" ht="13.8" thickBot="1" x14ac:dyDescent="0.3">
      <c r="A97" s="416" t="s">
        <v>541</v>
      </c>
      <c r="B97" s="414">
        <f>ROW(A97)</f>
        <v>97</v>
      </c>
      <c r="C97" s="418" t="s">
        <v>116</v>
      </c>
      <c r="D97" s="408">
        <f>SUM(B100:Y100)</f>
        <v>39.923978000000005</v>
      </c>
      <c r="E97" s="418" t="s">
        <v>115</v>
      </c>
      <c r="F97" s="409">
        <f>D97/g/J97</f>
        <v>118.30588744280873</v>
      </c>
      <c r="G97" s="418" t="s">
        <v>57</v>
      </c>
      <c r="H97" s="86">
        <f>H92*2</f>
        <v>5.6399999999999999E-2</v>
      </c>
      <c r="I97" s="418" t="s">
        <v>272</v>
      </c>
      <c r="J97" s="410">
        <f>H97-L97</f>
        <v>3.44E-2</v>
      </c>
      <c r="K97" s="418" t="s">
        <v>273</v>
      </c>
      <c r="L97" s="86">
        <f>L92*2</f>
        <v>2.1999999999999999E-2</v>
      </c>
      <c r="M97" s="418" t="s">
        <v>58</v>
      </c>
      <c r="N97" s="87">
        <v>30</v>
      </c>
      <c r="O97" s="418" t="s">
        <v>60</v>
      </c>
      <c r="P97" s="87">
        <v>30</v>
      </c>
      <c r="Q97" s="418" t="s">
        <v>61</v>
      </c>
      <c r="R97" s="87">
        <v>70</v>
      </c>
      <c r="S97" s="418" t="s">
        <v>62</v>
      </c>
      <c r="T97" s="87">
        <v>30</v>
      </c>
      <c r="U97" s="418" t="s">
        <v>55</v>
      </c>
      <c r="V97" s="88" t="s">
        <v>403</v>
      </c>
      <c r="W97" s="547" t="s">
        <v>396</v>
      </c>
      <c r="X97" s="549">
        <v>2.1</v>
      </c>
      <c r="Y97" s="547" t="s">
        <v>395</v>
      </c>
      <c r="Z97" s="413">
        <v>7</v>
      </c>
    </row>
    <row r="98" spans="1:26" x14ac:dyDescent="0.25">
      <c r="A98" s="417" t="s">
        <v>33</v>
      </c>
      <c r="B98" s="425">
        <v>0</v>
      </c>
      <c r="C98" s="426">
        <f>C93</f>
        <v>0.04</v>
      </c>
      <c r="D98" s="426">
        <f t="shared" ref="D98:X98" si="19">D93</f>
        <v>0.11600000000000001</v>
      </c>
      <c r="E98" s="426">
        <f t="shared" si="19"/>
        <v>0.21299999999999999</v>
      </c>
      <c r="F98" s="426">
        <f t="shared" si="19"/>
        <v>0.28599999999999998</v>
      </c>
      <c r="G98" s="426">
        <f t="shared" si="19"/>
        <v>0.32900000000000001</v>
      </c>
      <c r="H98" s="426">
        <f t="shared" si="19"/>
        <v>0.36899999999999999</v>
      </c>
      <c r="I98" s="426">
        <f t="shared" si="19"/>
        <v>0.42</v>
      </c>
      <c r="J98" s="426">
        <f t="shared" si="19"/>
        <v>0.495</v>
      </c>
      <c r="K98" s="426">
        <f t="shared" si="19"/>
        <v>0.59699999999999998</v>
      </c>
      <c r="L98" s="426">
        <f t="shared" si="19"/>
        <v>1.7110000000000001</v>
      </c>
      <c r="M98" s="426">
        <f t="shared" si="19"/>
        <v>1.8260000000000001</v>
      </c>
      <c r="N98" s="426">
        <f t="shared" si="19"/>
        <v>1.917</v>
      </c>
      <c r="O98" s="426">
        <f t="shared" si="19"/>
        <v>1.9750000000000001</v>
      </c>
      <c r="P98" s="426">
        <f t="shared" si="19"/>
        <v>2.206</v>
      </c>
      <c r="Q98" s="426">
        <f t="shared" si="19"/>
        <v>2.242</v>
      </c>
      <c r="R98" s="426">
        <f t="shared" si="19"/>
        <v>2.5</v>
      </c>
      <c r="S98" s="426">
        <f>S93</f>
        <v>2.5</v>
      </c>
      <c r="T98" s="426">
        <f t="shared" si="19"/>
        <v>2.5</v>
      </c>
      <c r="U98" s="426">
        <f t="shared" si="19"/>
        <v>2.5</v>
      </c>
      <c r="V98" s="426">
        <f t="shared" si="19"/>
        <v>2.5</v>
      </c>
      <c r="W98" s="426">
        <f t="shared" si="19"/>
        <v>2.5</v>
      </c>
      <c r="X98" s="426">
        <f t="shared" si="19"/>
        <v>2.5</v>
      </c>
      <c r="Y98" s="437">
        <v>1000</v>
      </c>
    </row>
    <row r="99" spans="1:26" x14ac:dyDescent="0.25">
      <c r="A99" s="434" t="s">
        <v>34</v>
      </c>
      <c r="B99" s="427">
        <f>B94*2</f>
        <v>0</v>
      </c>
      <c r="C99" s="428">
        <f t="shared" ref="C99:X99" si="20">C94*2</f>
        <v>4.2220000000000004</v>
      </c>
      <c r="D99" s="428">
        <f t="shared" si="20"/>
        <v>19.37</v>
      </c>
      <c r="E99" s="428">
        <f t="shared" si="20"/>
        <v>50</v>
      </c>
      <c r="F99" s="428">
        <f t="shared" si="20"/>
        <v>31.475999999999999</v>
      </c>
      <c r="G99" s="428">
        <f t="shared" si="20"/>
        <v>24.943999999999999</v>
      </c>
      <c r="H99" s="428">
        <f t="shared" si="20"/>
        <v>21.34</v>
      </c>
      <c r="I99" s="428">
        <f t="shared" si="20"/>
        <v>19.425999999999998</v>
      </c>
      <c r="J99" s="428">
        <f t="shared" si="20"/>
        <v>18.356000000000002</v>
      </c>
      <c r="K99" s="428">
        <f t="shared" si="20"/>
        <v>17.792000000000002</v>
      </c>
      <c r="L99" s="428">
        <f t="shared" si="20"/>
        <v>17.850000000000001</v>
      </c>
      <c r="M99" s="428">
        <f t="shared" si="20"/>
        <v>17.398</v>
      </c>
      <c r="N99" s="428">
        <f t="shared" si="20"/>
        <v>16.103999999999999</v>
      </c>
      <c r="O99" s="428">
        <f t="shared" si="20"/>
        <v>13.907999999999999</v>
      </c>
      <c r="P99" s="428">
        <f t="shared" si="20"/>
        <v>2.14</v>
      </c>
      <c r="Q99" s="428">
        <f t="shared" si="20"/>
        <v>0</v>
      </c>
      <c r="R99" s="428">
        <f t="shared" si="20"/>
        <v>0</v>
      </c>
      <c r="S99" s="428">
        <f t="shared" si="20"/>
        <v>0</v>
      </c>
      <c r="T99" s="428">
        <f t="shared" si="20"/>
        <v>0</v>
      </c>
      <c r="U99" s="428">
        <f t="shared" si="20"/>
        <v>0</v>
      </c>
      <c r="V99" s="428">
        <f t="shared" si="20"/>
        <v>0</v>
      </c>
      <c r="W99" s="428">
        <f t="shared" si="20"/>
        <v>0</v>
      </c>
      <c r="X99" s="428">
        <f t="shared" si="20"/>
        <v>0</v>
      </c>
      <c r="Y99" s="438">
        <v>0</v>
      </c>
    </row>
    <row r="100" spans="1:26" ht="13.8" thickBot="1" x14ac:dyDescent="0.3">
      <c r="A100" s="435" t="s">
        <v>117</v>
      </c>
      <c r="B100" s="429">
        <f t="shared" ref="B100:X100" si="21">(C99+B99)*(C98-B98)/2</f>
        <v>8.4440000000000015E-2</v>
      </c>
      <c r="C100" s="430">
        <f t="shared" si="21"/>
        <v>0.89649600000000018</v>
      </c>
      <c r="D100" s="430">
        <f t="shared" si="21"/>
        <v>3.3644449999999999</v>
      </c>
      <c r="E100" s="430">
        <f t="shared" si="21"/>
        <v>2.973873999999999</v>
      </c>
      <c r="F100" s="430">
        <f t="shared" si="21"/>
        <v>1.2130300000000012</v>
      </c>
      <c r="G100" s="430">
        <f t="shared" si="21"/>
        <v>0.9256799999999995</v>
      </c>
      <c r="H100" s="430">
        <f t="shared" si="21"/>
        <v>1.0395329999999998</v>
      </c>
      <c r="I100" s="430">
        <f t="shared" si="21"/>
        <v>1.416825</v>
      </c>
      <c r="J100" s="430">
        <f t="shared" si="21"/>
        <v>1.8435479999999997</v>
      </c>
      <c r="K100" s="430">
        <f t="shared" si="21"/>
        <v>19.852594000000003</v>
      </c>
      <c r="L100" s="430">
        <f t="shared" si="21"/>
        <v>2.0267599999999999</v>
      </c>
      <c r="M100" s="430">
        <f t="shared" si="21"/>
        <v>1.5243409999999993</v>
      </c>
      <c r="N100" s="430">
        <f t="shared" si="21"/>
        <v>0.87034800000000079</v>
      </c>
      <c r="O100" s="430">
        <f t="shared" si="21"/>
        <v>1.8535439999999987</v>
      </c>
      <c r="P100" s="430">
        <f t="shared" si="21"/>
        <v>3.8520000000000033E-2</v>
      </c>
      <c r="Q100" s="430">
        <f t="shared" si="21"/>
        <v>0</v>
      </c>
      <c r="R100" s="430">
        <f t="shared" si="21"/>
        <v>0</v>
      </c>
      <c r="S100" s="430">
        <f t="shared" si="21"/>
        <v>0</v>
      </c>
      <c r="T100" s="430">
        <f t="shared" si="21"/>
        <v>0</v>
      </c>
      <c r="U100" s="430">
        <f t="shared" si="21"/>
        <v>0</v>
      </c>
      <c r="V100" s="430">
        <f t="shared" si="21"/>
        <v>0</v>
      </c>
      <c r="W100" s="430">
        <f t="shared" si="21"/>
        <v>0</v>
      </c>
      <c r="X100" s="430">
        <f t="shared" si="21"/>
        <v>0</v>
      </c>
      <c r="Y100" s="424"/>
    </row>
    <row r="101" spans="1:26" ht="13.8" thickBot="1" x14ac:dyDescent="0.3">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6" ht="13.8" thickBot="1" x14ac:dyDescent="0.3">
      <c r="A102" s="416" t="s">
        <v>542</v>
      </c>
      <c r="B102" s="414">
        <f>ROW(A102)</f>
        <v>102</v>
      </c>
      <c r="C102" s="418" t="s">
        <v>116</v>
      </c>
      <c r="D102" s="408">
        <f>SUM(B105:Y105)</f>
        <v>59.885967000000008</v>
      </c>
      <c r="E102" s="418" t="s">
        <v>115</v>
      </c>
      <c r="F102" s="409">
        <f>D102/g/J102</f>
        <v>118.30588744280874</v>
      </c>
      <c r="G102" s="418" t="s">
        <v>57</v>
      </c>
      <c r="H102" s="86">
        <f>H92*3</f>
        <v>8.4599999999999995E-2</v>
      </c>
      <c r="I102" s="418" t="s">
        <v>272</v>
      </c>
      <c r="J102" s="410">
        <f>H102-L102</f>
        <v>5.1599999999999993E-2</v>
      </c>
      <c r="K102" s="418" t="s">
        <v>273</v>
      </c>
      <c r="L102" s="86">
        <f>L92*3</f>
        <v>3.3000000000000002E-2</v>
      </c>
      <c r="M102" s="418" t="s">
        <v>58</v>
      </c>
      <c r="N102" s="87">
        <v>30</v>
      </c>
      <c r="O102" s="418" t="s">
        <v>60</v>
      </c>
      <c r="P102" s="87">
        <v>30</v>
      </c>
      <c r="Q102" s="418" t="s">
        <v>61</v>
      </c>
      <c r="R102" s="87">
        <v>70</v>
      </c>
      <c r="S102" s="418" t="s">
        <v>62</v>
      </c>
      <c r="T102" s="87">
        <v>40</v>
      </c>
      <c r="U102" s="418" t="s">
        <v>55</v>
      </c>
      <c r="V102" s="88" t="s">
        <v>403</v>
      </c>
      <c r="W102" s="547" t="s">
        <v>396</v>
      </c>
      <c r="X102" s="549">
        <v>2.1</v>
      </c>
      <c r="Y102" s="547" t="s">
        <v>395</v>
      </c>
      <c r="Z102" s="413">
        <v>7</v>
      </c>
    </row>
    <row r="103" spans="1:26" x14ac:dyDescent="0.25">
      <c r="A103" s="417" t="s">
        <v>33</v>
      </c>
      <c r="B103" s="425">
        <v>0</v>
      </c>
      <c r="C103" s="426">
        <f>C93</f>
        <v>0.04</v>
      </c>
      <c r="D103" s="426">
        <f t="shared" ref="D103:X103" si="22">D93</f>
        <v>0.11600000000000001</v>
      </c>
      <c r="E103" s="426">
        <f t="shared" si="22"/>
        <v>0.21299999999999999</v>
      </c>
      <c r="F103" s="426">
        <f t="shared" si="22"/>
        <v>0.28599999999999998</v>
      </c>
      <c r="G103" s="426">
        <f t="shared" si="22"/>
        <v>0.32900000000000001</v>
      </c>
      <c r="H103" s="426">
        <f t="shared" si="22"/>
        <v>0.36899999999999999</v>
      </c>
      <c r="I103" s="426">
        <f t="shared" si="22"/>
        <v>0.42</v>
      </c>
      <c r="J103" s="426">
        <f t="shared" si="22"/>
        <v>0.495</v>
      </c>
      <c r="K103" s="426">
        <f t="shared" si="22"/>
        <v>0.59699999999999998</v>
      </c>
      <c r="L103" s="426">
        <f t="shared" si="22"/>
        <v>1.7110000000000001</v>
      </c>
      <c r="M103" s="426">
        <f t="shared" si="22"/>
        <v>1.8260000000000001</v>
      </c>
      <c r="N103" s="426">
        <f t="shared" si="22"/>
        <v>1.917</v>
      </c>
      <c r="O103" s="426">
        <f t="shared" si="22"/>
        <v>1.9750000000000001</v>
      </c>
      <c r="P103" s="426">
        <f t="shared" si="22"/>
        <v>2.206</v>
      </c>
      <c r="Q103" s="426">
        <f t="shared" si="22"/>
        <v>2.242</v>
      </c>
      <c r="R103" s="426">
        <f t="shared" si="22"/>
        <v>2.5</v>
      </c>
      <c r="S103" s="426">
        <f t="shared" si="22"/>
        <v>2.5</v>
      </c>
      <c r="T103" s="426">
        <f t="shared" si="22"/>
        <v>2.5</v>
      </c>
      <c r="U103" s="426">
        <f t="shared" si="22"/>
        <v>2.5</v>
      </c>
      <c r="V103" s="426">
        <f t="shared" si="22"/>
        <v>2.5</v>
      </c>
      <c r="W103" s="426">
        <f t="shared" si="22"/>
        <v>2.5</v>
      </c>
      <c r="X103" s="426">
        <f t="shared" si="22"/>
        <v>2.5</v>
      </c>
      <c r="Y103" s="437">
        <v>1000</v>
      </c>
    </row>
    <row r="104" spans="1:26" x14ac:dyDescent="0.25">
      <c r="A104" s="434" t="s">
        <v>34</v>
      </c>
      <c r="B104" s="427">
        <f>B94*3</f>
        <v>0</v>
      </c>
      <c r="C104" s="428">
        <f t="shared" ref="C104:X104" si="23">C94*3</f>
        <v>6.3330000000000002</v>
      </c>
      <c r="D104" s="428">
        <f t="shared" si="23"/>
        <v>29.055</v>
      </c>
      <c r="E104" s="428">
        <f t="shared" si="23"/>
        <v>75</v>
      </c>
      <c r="F104" s="428">
        <f t="shared" si="23"/>
        <v>47.213999999999999</v>
      </c>
      <c r="G104" s="428">
        <f t="shared" si="23"/>
        <v>37.415999999999997</v>
      </c>
      <c r="H104" s="428">
        <f t="shared" si="23"/>
        <v>32.01</v>
      </c>
      <c r="I104" s="428">
        <f t="shared" si="23"/>
        <v>29.138999999999996</v>
      </c>
      <c r="J104" s="428">
        <f t="shared" si="23"/>
        <v>27.534000000000002</v>
      </c>
      <c r="K104" s="428">
        <f t="shared" si="23"/>
        <v>26.688000000000002</v>
      </c>
      <c r="L104" s="428">
        <f t="shared" si="23"/>
        <v>26.775000000000002</v>
      </c>
      <c r="M104" s="428">
        <f t="shared" si="23"/>
        <v>26.097000000000001</v>
      </c>
      <c r="N104" s="428">
        <f t="shared" si="23"/>
        <v>24.155999999999999</v>
      </c>
      <c r="O104" s="428">
        <f t="shared" si="23"/>
        <v>20.861999999999998</v>
      </c>
      <c r="P104" s="428">
        <f t="shared" si="23"/>
        <v>3.21</v>
      </c>
      <c r="Q104" s="428">
        <f t="shared" si="23"/>
        <v>0</v>
      </c>
      <c r="R104" s="428">
        <f t="shared" si="23"/>
        <v>0</v>
      </c>
      <c r="S104" s="428">
        <f t="shared" si="23"/>
        <v>0</v>
      </c>
      <c r="T104" s="428">
        <f t="shared" si="23"/>
        <v>0</v>
      </c>
      <c r="U104" s="428">
        <f t="shared" si="23"/>
        <v>0</v>
      </c>
      <c r="V104" s="428">
        <f t="shared" si="23"/>
        <v>0</v>
      </c>
      <c r="W104" s="428">
        <f t="shared" si="23"/>
        <v>0</v>
      </c>
      <c r="X104" s="428">
        <f t="shared" si="23"/>
        <v>0</v>
      </c>
      <c r="Y104" s="438">
        <v>0</v>
      </c>
    </row>
    <row r="105" spans="1:26" ht="13.8" thickBot="1" x14ac:dyDescent="0.3">
      <c r="A105" s="435" t="s">
        <v>117</v>
      </c>
      <c r="B105" s="429">
        <f t="shared" ref="B105:X105" si="24">(C104+B104)*(C103-B103)/2</f>
        <v>0.12665999999999999</v>
      </c>
      <c r="C105" s="430">
        <f t="shared" si="24"/>
        <v>1.3447440000000002</v>
      </c>
      <c r="D105" s="430">
        <f t="shared" si="24"/>
        <v>5.0466674999999999</v>
      </c>
      <c r="E105" s="430">
        <f t="shared" si="24"/>
        <v>4.4608109999999987</v>
      </c>
      <c r="F105" s="430">
        <f t="shared" si="24"/>
        <v>1.8195450000000015</v>
      </c>
      <c r="G105" s="430">
        <f t="shared" si="24"/>
        <v>1.3885199999999991</v>
      </c>
      <c r="H105" s="430">
        <f t="shared" si="24"/>
        <v>1.5592994999999996</v>
      </c>
      <c r="I105" s="430">
        <f t="shared" si="24"/>
        <v>2.1252375000000003</v>
      </c>
      <c r="J105" s="430">
        <f t="shared" si="24"/>
        <v>2.7653219999999998</v>
      </c>
      <c r="K105" s="430">
        <f t="shared" si="24"/>
        <v>29.778891000000009</v>
      </c>
      <c r="L105" s="430">
        <f t="shared" si="24"/>
        <v>3.0401399999999996</v>
      </c>
      <c r="M105" s="430">
        <f t="shared" si="24"/>
        <v>2.2865114999999991</v>
      </c>
      <c r="N105" s="430">
        <f t="shared" si="24"/>
        <v>1.3055220000000012</v>
      </c>
      <c r="O105" s="430">
        <f t="shared" si="24"/>
        <v>2.7803159999999982</v>
      </c>
      <c r="P105" s="430">
        <f t="shared" si="24"/>
        <v>5.7780000000000054E-2</v>
      </c>
      <c r="Q105" s="430">
        <f t="shared" si="24"/>
        <v>0</v>
      </c>
      <c r="R105" s="430">
        <f t="shared" si="24"/>
        <v>0</v>
      </c>
      <c r="S105" s="430">
        <f t="shared" si="24"/>
        <v>0</v>
      </c>
      <c r="T105" s="430">
        <f t="shared" si="24"/>
        <v>0</v>
      </c>
      <c r="U105" s="430">
        <f t="shared" si="24"/>
        <v>0</v>
      </c>
      <c r="V105" s="430">
        <f t="shared" si="24"/>
        <v>0</v>
      </c>
      <c r="W105" s="430">
        <f t="shared" si="24"/>
        <v>0</v>
      </c>
      <c r="X105" s="430">
        <f t="shared" si="24"/>
        <v>0</v>
      </c>
      <c r="Y105" s="424"/>
    </row>
    <row r="107" spans="1:26" ht="13.8" thickBot="1" x14ac:dyDescent="0.3">
      <c r="A107" s="492" t="s">
        <v>318</v>
      </c>
    </row>
    <row r="108" spans="1:26" ht="13.8" thickBot="1" x14ac:dyDescent="0.3">
      <c r="A108" s="416" t="s">
        <v>321</v>
      </c>
      <c r="B108" s="414">
        <f>ROW(A108)</f>
        <v>108</v>
      </c>
      <c r="C108" s="418" t="s">
        <v>116</v>
      </c>
      <c r="D108" s="408">
        <f>SUM(B111:Y111)</f>
        <v>24.269519000000003</v>
      </c>
      <c r="E108" s="418" t="s">
        <v>115</v>
      </c>
      <c r="F108" s="409">
        <f>D108/g/J108</f>
        <v>154.62231778797147</v>
      </c>
      <c r="G108" s="418" t="s">
        <v>57</v>
      </c>
      <c r="H108" s="86">
        <v>5.1999999999999998E-2</v>
      </c>
      <c r="I108" s="418" t="s">
        <v>272</v>
      </c>
      <c r="J108" s="410">
        <f>H108-L108</f>
        <v>1.6E-2</v>
      </c>
      <c r="K108" s="418" t="s">
        <v>273</v>
      </c>
      <c r="L108" s="86">
        <v>3.5999999999999997E-2</v>
      </c>
      <c r="M108" s="418" t="s">
        <v>58</v>
      </c>
      <c r="N108" s="457">
        <v>35</v>
      </c>
      <c r="O108" s="418" t="s">
        <v>60</v>
      </c>
      <c r="P108" s="457">
        <v>35</v>
      </c>
      <c r="Q108" s="418" t="s">
        <v>61</v>
      </c>
      <c r="R108" s="87">
        <v>69</v>
      </c>
      <c r="S108" s="418" t="s">
        <v>62</v>
      </c>
      <c r="T108" s="87">
        <v>24</v>
      </c>
      <c r="U108" s="418" t="s">
        <v>55</v>
      </c>
      <c r="V108" s="88" t="s">
        <v>401</v>
      </c>
      <c r="W108" s="547" t="s">
        <v>396</v>
      </c>
      <c r="X108" s="549">
        <v>1</v>
      </c>
      <c r="Y108" s="547" t="s">
        <v>395</v>
      </c>
      <c r="Z108" s="413">
        <v>13</v>
      </c>
    </row>
    <row r="109" spans="1:26" x14ac:dyDescent="0.25">
      <c r="A109" s="417" t="s">
        <v>33</v>
      </c>
      <c r="B109" s="425">
        <v>0</v>
      </c>
      <c r="C109" s="426">
        <v>8.0000000000000002E-3</v>
      </c>
      <c r="D109" s="426">
        <v>2.5999999999999999E-2</v>
      </c>
      <c r="E109" s="426">
        <v>3.7999999999999999E-2</v>
      </c>
      <c r="F109" s="426">
        <v>6.7000000000000004E-2</v>
      </c>
      <c r="G109" s="426">
        <v>0.10100000000000001</v>
      </c>
      <c r="H109" s="426">
        <v>0.33</v>
      </c>
      <c r="I109" s="426">
        <v>0.52800000000000002</v>
      </c>
      <c r="J109" s="426">
        <v>0.71599999999999997</v>
      </c>
      <c r="K109" s="426">
        <v>0.84099999999999997</v>
      </c>
      <c r="L109" s="426">
        <v>0.91200000000000003</v>
      </c>
      <c r="M109" s="426">
        <v>0.98699999999999999</v>
      </c>
      <c r="N109" s="426">
        <v>1.016</v>
      </c>
      <c r="O109" s="426">
        <v>1.0649999999999999</v>
      </c>
      <c r="P109" s="426">
        <v>1.087</v>
      </c>
      <c r="Q109" s="442">
        <v>2</v>
      </c>
      <c r="R109" s="442">
        <v>2</v>
      </c>
      <c r="S109" s="442">
        <v>2</v>
      </c>
      <c r="T109" s="442">
        <v>2</v>
      </c>
      <c r="U109" s="442">
        <v>2</v>
      </c>
      <c r="V109" s="442">
        <v>2</v>
      </c>
      <c r="W109" s="442">
        <v>2</v>
      </c>
      <c r="X109" s="442">
        <v>2</v>
      </c>
      <c r="Y109" s="444">
        <v>1000</v>
      </c>
    </row>
    <row r="110" spans="1:26" x14ac:dyDescent="0.25">
      <c r="A110" s="434" t="s">
        <v>34</v>
      </c>
      <c r="B110" s="427">
        <v>0</v>
      </c>
      <c r="C110" s="428">
        <v>18.292000000000002</v>
      </c>
      <c r="D110" s="428">
        <v>30</v>
      </c>
      <c r="E110" s="428">
        <v>30.792000000000002</v>
      </c>
      <c r="F110" s="428">
        <v>18.707999999999998</v>
      </c>
      <c r="G110" s="428">
        <v>21.875</v>
      </c>
      <c r="H110" s="428">
        <v>26.082999999999998</v>
      </c>
      <c r="I110" s="428">
        <v>28.042000000000002</v>
      </c>
      <c r="J110" s="428">
        <v>27.875</v>
      </c>
      <c r="K110" s="428">
        <v>23.542000000000002</v>
      </c>
      <c r="L110" s="428">
        <v>17.832999999999998</v>
      </c>
      <c r="M110" s="428">
        <v>7</v>
      </c>
      <c r="N110" s="428">
        <v>3.3330000000000002</v>
      </c>
      <c r="O110" s="428">
        <v>1.083</v>
      </c>
      <c r="P110" s="428">
        <v>0</v>
      </c>
      <c r="Q110" s="433">
        <v>0</v>
      </c>
      <c r="R110" s="433">
        <v>0</v>
      </c>
      <c r="S110" s="433">
        <v>0</v>
      </c>
      <c r="T110" s="433">
        <f>S110</f>
        <v>0</v>
      </c>
      <c r="U110" s="433">
        <f>T110</f>
        <v>0</v>
      </c>
      <c r="V110" s="433">
        <f>U110</f>
        <v>0</v>
      </c>
      <c r="W110" s="433">
        <f>V110</f>
        <v>0</v>
      </c>
      <c r="X110" s="433">
        <f>W110</f>
        <v>0</v>
      </c>
      <c r="Y110" s="439">
        <v>0</v>
      </c>
    </row>
    <row r="111" spans="1:26" ht="13.8" thickBot="1" x14ac:dyDescent="0.3">
      <c r="A111" s="435" t="s">
        <v>117</v>
      </c>
      <c r="B111" s="429">
        <f t="shared" ref="B111:V111" si="25">(C110+B110)*(C109-B109)/2</f>
        <v>7.3168000000000011E-2</v>
      </c>
      <c r="C111" s="430">
        <f t="shared" si="25"/>
        <v>0.43462799999999996</v>
      </c>
      <c r="D111" s="430">
        <f t="shared" si="25"/>
        <v>0.36475200000000002</v>
      </c>
      <c r="E111" s="430">
        <f t="shared" si="25"/>
        <v>0.71775000000000011</v>
      </c>
      <c r="F111" s="430">
        <f t="shared" si="25"/>
        <v>0.68991100000000005</v>
      </c>
      <c r="G111" s="430">
        <f t="shared" si="25"/>
        <v>5.4911909999999997</v>
      </c>
      <c r="H111" s="430">
        <f t="shared" si="25"/>
        <v>5.3583750000000006</v>
      </c>
      <c r="I111" s="430">
        <f t="shared" si="25"/>
        <v>5.2561979999999986</v>
      </c>
      <c r="J111" s="430">
        <f>(K110+J110)*(K109-J109)/2</f>
        <v>3.2135625000000001</v>
      </c>
      <c r="K111" s="430">
        <f t="shared" si="25"/>
        <v>1.4688125000000014</v>
      </c>
      <c r="L111" s="430">
        <f t="shared" si="25"/>
        <v>0.93123749999999939</v>
      </c>
      <c r="M111" s="430">
        <f t="shared" si="25"/>
        <v>0.14982850000000014</v>
      </c>
      <c r="N111" s="430">
        <f t="shared" si="25"/>
        <v>0.10819199999999986</v>
      </c>
      <c r="O111" s="430">
        <f t="shared" si="25"/>
        <v>1.191300000000001E-2</v>
      </c>
      <c r="P111" s="430">
        <f t="shared" si="25"/>
        <v>0</v>
      </c>
      <c r="Q111" s="430">
        <f t="shared" si="25"/>
        <v>0</v>
      </c>
      <c r="R111" s="430">
        <f t="shared" si="25"/>
        <v>0</v>
      </c>
      <c r="S111" s="430">
        <f>(T110+S110)*(T109-S109)/2</f>
        <v>0</v>
      </c>
      <c r="T111" s="430">
        <f t="shared" si="25"/>
        <v>0</v>
      </c>
      <c r="U111" s="430">
        <f t="shared" si="25"/>
        <v>0</v>
      </c>
      <c r="V111" s="430">
        <f t="shared" si="25"/>
        <v>0</v>
      </c>
      <c r="W111" s="430">
        <f>(X110+W110)*(X109-W109)/2</f>
        <v>0</v>
      </c>
      <c r="X111" s="430">
        <f>(Y110+X110)*(Y109-X109)/2</f>
        <v>0</v>
      </c>
      <c r="Y111" s="424"/>
    </row>
    <row r="112" spans="1:26" ht="13.8" thickBot="1" x14ac:dyDescent="0.3"/>
    <row r="113" spans="1:26" ht="13.8" thickBot="1" x14ac:dyDescent="0.3">
      <c r="A113" s="416" t="s">
        <v>419</v>
      </c>
      <c r="B113" s="414">
        <f>ROW(A113)</f>
        <v>113</v>
      </c>
      <c r="C113" s="418" t="s">
        <v>116</v>
      </c>
      <c r="D113" s="408">
        <f>SUM(B116:Y116)</f>
        <v>24.488898000000002</v>
      </c>
      <c r="E113" s="418" t="s">
        <v>115</v>
      </c>
      <c r="F113" s="409">
        <f>D113/g/J113</f>
        <v>121.771701350041</v>
      </c>
      <c r="G113" s="418" t="s">
        <v>57</v>
      </c>
      <c r="H113" s="86">
        <v>5.6500000000000002E-2</v>
      </c>
      <c r="I113" s="418" t="s">
        <v>272</v>
      </c>
      <c r="J113" s="410">
        <f>H113-L113</f>
        <v>2.0500000000000004E-2</v>
      </c>
      <c r="K113" s="418" t="s">
        <v>273</v>
      </c>
      <c r="L113" s="86">
        <v>3.5999999999999997E-2</v>
      </c>
      <c r="M113" s="418" t="s">
        <v>58</v>
      </c>
      <c r="N113" s="457">
        <v>35</v>
      </c>
      <c r="O113" s="418" t="s">
        <v>60</v>
      </c>
      <c r="P113" s="457">
        <v>35</v>
      </c>
      <c r="Q113" s="418" t="s">
        <v>61</v>
      </c>
      <c r="R113" s="87">
        <v>69</v>
      </c>
      <c r="S113" s="418" t="s">
        <v>62</v>
      </c>
      <c r="T113" s="87">
        <v>24</v>
      </c>
      <c r="U113" s="418" t="s">
        <v>55</v>
      </c>
      <c r="V113" s="88" t="s">
        <v>402</v>
      </c>
      <c r="W113" s="547" t="s">
        <v>396</v>
      </c>
      <c r="X113" s="549">
        <v>0.33</v>
      </c>
      <c r="Y113" s="547" t="s">
        <v>395</v>
      </c>
      <c r="Z113" s="413">
        <v>17</v>
      </c>
    </row>
    <row r="114" spans="1:26" x14ac:dyDescent="0.25">
      <c r="A114" s="417" t="s">
        <v>33</v>
      </c>
      <c r="B114" s="425">
        <v>0</v>
      </c>
      <c r="C114" s="426">
        <v>8.9999999999999993E-3</v>
      </c>
      <c r="D114" s="426">
        <v>1.2E-2</v>
      </c>
      <c r="E114" s="426">
        <v>2.3E-2</v>
      </c>
      <c r="F114" s="426">
        <v>2.7E-2</v>
      </c>
      <c r="G114" s="426">
        <v>4.7E-2</v>
      </c>
      <c r="H114" s="426">
        <v>9.1999999999999998E-2</v>
      </c>
      <c r="I114" s="426">
        <v>0.11799999999999999</v>
      </c>
      <c r="J114" s="426">
        <v>0.14099999999999999</v>
      </c>
      <c r="K114" s="426">
        <v>0.192</v>
      </c>
      <c r="L114" s="426">
        <v>0.222</v>
      </c>
      <c r="M114" s="426">
        <v>0.25</v>
      </c>
      <c r="N114" s="426">
        <v>0.26</v>
      </c>
      <c r="O114" s="426">
        <v>0.28100000000000003</v>
      </c>
      <c r="P114" s="426">
        <v>0.28699999999999998</v>
      </c>
      <c r="Q114" s="426">
        <v>0.30599999999999999</v>
      </c>
      <c r="R114" s="426">
        <v>0.314</v>
      </c>
      <c r="S114" s="426">
        <v>0.32600000000000001</v>
      </c>
      <c r="T114" s="426">
        <v>0.32900000000000001</v>
      </c>
      <c r="U114" s="442">
        <v>0.5</v>
      </c>
      <c r="V114" s="442">
        <v>1</v>
      </c>
      <c r="W114" s="442">
        <v>2</v>
      </c>
      <c r="X114" s="442">
        <v>2</v>
      </c>
      <c r="Y114" s="444">
        <v>1000</v>
      </c>
    </row>
    <row r="115" spans="1:26" x14ac:dyDescent="0.25">
      <c r="A115" s="434" t="s">
        <v>34</v>
      </c>
      <c r="B115" s="427">
        <v>0</v>
      </c>
      <c r="C115" s="428">
        <v>84.212999999999994</v>
      </c>
      <c r="D115" s="428">
        <v>95.099000000000004</v>
      </c>
      <c r="E115" s="428">
        <v>77.08</v>
      </c>
      <c r="F115" s="428">
        <v>68.697000000000003</v>
      </c>
      <c r="G115" s="428">
        <v>73.451999999999998</v>
      </c>
      <c r="H115" s="428">
        <v>81.834999999999994</v>
      </c>
      <c r="I115" s="428">
        <v>83.837000000000003</v>
      </c>
      <c r="J115" s="428">
        <v>86.465000000000003</v>
      </c>
      <c r="K115" s="428">
        <v>86.965999999999994</v>
      </c>
      <c r="L115" s="428">
        <v>85.338999999999999</v>
      </c>
      <c r="M115" s="428">
        <v>80.082999999999998</v>
      </c>
      <c r="N115" s="428">
        <v>78.331999999999994</v>
      </c>
      <c r="O115" s="428">
        <v>82.960999999999999</v>
      </c>
      <c r="P115" s="428">
        <v>78.206000000000003</v>
      </c>
      <c r="Q115" s="428">
        <v>24.776</v>
      </c>
      <c r="R115" s="428">
        <v>14.14</v>
      </c>
      <c r="S115" s="428">
        <v>8.5090000000000003</v>
      </c>
      <c r="T115" s="428">
        <v>0</v>
      </c>
      <c r="U115" s="433">
        <f>T115</f>
        <v>0</v>
      </c>
      <c r="V115" s="433">
        <f>U115</f>
        <v>0</v>
      </c>
      <c r="W115" s="433">
        <f>V115</f>
        <v>0</v>
      </c>
      <c r="X115" s="433">
        <f>W115</f>
        <v>0</v>
      </c>
      <c r="Y115" s="439">
        <v>0</v>
      </c>
    </row>
    <row r="116" spans="1:26" ht="13.8" thickBot="1" x14ac:dyDescent="0.3">
      <c r="A116" s="435" t="s">
        <v>117</v>
      </c>
      <c r="B116" s="429">
        <f t="shared" ref="B116:V116" si="26">(C115+B115)*(C114-B114)/2</f>
        <v>0.37895849999999992</v>
      </c>
      <c r="C116" s="430">
        <f t="shared" si="26"/>
        <v>0.2689680000000001</v>
      </c>
      <c r="D116" s="430">
        <f t="shared" si="26"/>
        <v>0.94698450000000001</v>
      </c>
      <c r="E116" s="430">
        <f t="shared" si="26"/>
        <v>0.29155399999999998</v>
      </c>
      <c r="F116" s="430">
        <f t="shared" si="26"/>
        <v>1.4214900000000001</v>
      </c>
      <c r="G116" s="430">
        <f t="shared" si="26"/>
        <v>3.4939574999999992</v>
      </c>
      <c r="H116" s="430">
        <f t="shared" si="26"/>
        <v>2.1537359999999994</v>
      </c>
      <c r="I116" s="430">
        <f t="shared" si="26"/>
        <v>1.9584729999999997</v>
      </c>
      <c r="J116" s="430">
        <f>(K115+J115)*(K114-J114)/2</f>
        <v>4.4224905000000012</v>
      </c>
      <c r="K116" s="430">
        <f t="shared" si="26"/>
        <v>2.5845750000000001</v>
      </c>
      <c r="L116" s="430">
        <f t="shared" si="26"/>
        <v>2.3159079999999999</v>
      </c>
      <c r="M116" s="430">
        <f t="shared" si="26"/>
        <v>0.79207500000000064</v>
      </c>
      <c r="N116" s="430">
        <f t="shared" si="26"/>
        <v>1.6935765000000016</v>
      </c>
      <c r="O116" s="430">
        <f t="shared" si="26"/>
        <v>0.48350099999999596</v>
      </c>
      <c r="P116" s="430">
        <f t="shared" si="26"/>
        <v>0.97832900000000089</v>
      </c>
      <c r="Q116" s="430">
        <f t="shared" si="26"/>
        <v>0.15566400000000014</v>
      </c>
      <c r="R116" s="430">
        <f t="shared" si="26"/>
        <v>0.13589400000000013</v>
      </c>
      <c r="S116" s="430">
        <f>(T115+S115)*(T114-S114)/2</f>
        <v>1.2763500000000013E-2</v>
      </c>
      <c r="T116" s="430">
        <f t="shared" si="26"/>
        <v>0</v>
      </c>
      <c r="U116" s="430">
        <f t="shared" si="26"/>
        <v>0</v>
      </c>
      <c r="V116" s="430">
        <f t="shared" si="26"/>
        <v>0</v>
      </c>
      <c r="W116" s="430">
        <f>(X115+W115)*(X114-W114)/2</f>
        <v>0</v>
      </c>
      <c r="X116" s="430">
        <f>(Y115+X115)*(Y114-X114)/2</f>
        <v>0</v>
      </c>
      <c r="Y116" s="424"/>
    </row>
    <row r="117" spans="1:26" ht="13.8" thickBot="1" x14ac:dyDescent="0.3"/>
    <row r="118" spans="1:26" ht="13.8" thickBot="1" x14ac:dyDescent="0.3">
      <c r="A118" s="416" t="s">
        <v>322</v>
      </c>
      <c r="B118" s="414">
        <f>ROW(A118)</f>
        <v>118</v>
      </c>
      <c r="C118" s="418" t="s">
        <v>116</v>
      </c>
      <c r="D118" s="408">
        <f>SUM(B121:Y121)</f>
        <v>26.083982500000001</v>
      </c>
      <c r="E118" s="418" t="s">
        <v>115</v>
      </c>
      <c r="F118" s="409">
        <f>D118/g/J118</f>
        <v>166.18235537716615</v>
      </c>
      <c r="G118" s="418" t="s">
        <v>57</v>
      </c>
      <c r="H118" s="86">
        <v>5.1999999999999998E-2</v>
      </c>
      <c r="I118" s="418" t="s">
        <v>272</v>
      </c>
      <c r="J118" s="410">
        <f>H118-L118</f>
        <v>1.6E-2</v>
      </c>
      <c r="K118" s="418" t="s">
        <v>273</v>
      </c>
      <c r="L118" s="86">
        <v>3.5999999999999997E-2</v>
      </c>
      <c r="M118" s="418" t="s">
        <v>58</v>
      </c>
      <c r="N118" s="457">
        <v>35</v>
      </c>
      <c r="O118" s="418" t="s">
        <v>60</v>
      </c>
      <c r="P118" s="457">
        <v>35</v>
      </c>
      <c r="Q118" s="418" t="s">
        <v>61</v>
      </c>
      <c r="R118" s="87">
        <v>69</v>
      </c>
      <c r="S118" s="418" t="s">
        <v>62</v>
      </c>
      <c r="T118" s="87">
        <v>24</v>
      </c>
      <c r="U118" s="418" t="s">
        <v>55</v>
      </c>
      <c r="V118" s="88" t="s">
        <v>401</v>
      </c>
      <c r="W118" s="547" t="s">
        <v>396</v>
      </c>
      <c r="X118" s="549">
        <v>0.85</v>
      </c>
      <c r="Y118" s="547" t="s">
        <v>395</v>
      </c>
      <c r="Z118" s="413">
        <v>15</v>
      </c>
    </row>
    <row r="119" spans="1:26" x14ac:dyDescent="0.25">
      <c r="A119" s="417" t="s">
        <v>33</v>
      </c>
      <c r="B119" s="425">
        <v>0</v>
      </c>
      <c r="C119" s="426">
        <v>0.02</v>
      </c>
      <c r="D119" s="426">
        <v>2.7E-2</v>
      </c>
      <c r="E119" s="426">
        <v>4.9000000000000002E-2</v>
      </c>
      <c r="F119" s="426">
        <v>0.113</v>
      </c>
      <c r="G119" s="426">
        <v>0.193</v>
      </c>
      <c r="H119" s="426">
        <v>0.28199999999999997</v>
      </c>
      <c r="I119" s="426">
        <v>0.5</v>
      </c>
      <c r="J119" s="426">
        <v>0.72699999999999998</v>
      </c>
      <c r="K119" s="426">
        <v>0.77100000000000002</v>
      </c>
      <c r="L119" s="426">
        <v>0.80700000000000005</v>
      </c>
      <c r="M119" s="426">
        <v>0.84</v>
      </c>
      <c r="N119" s="426">
        <v>0.87</v>
      </c>
      <c r="O119" s="442">
        <v>1</v>
      </c>
      <c r="P119" s="442">
        <v>1</v>
      </c>
      <c r="Q119" s="442">
        <v>1</v>
      </c>
      <c r="R119" s="442">
        <v>1</v>
      </c>
      <c r="S119" s="442">
        <v>1</v>
      </c>
      <c r="T119" s="442">
        <v>1</v>
      </c>
      <c r="U119" s="442">
        <v>1</v>
      </c>
      <c r="V119" s="442">
        <v>1</v>
      </c>
      <c r="W119" s="442">
        <v>1</v>
      </c>
      <c r="X119" s="442">
        <v>2</v>
      </c>
      <c r="Y119" s="444">
        <v>1000</v>
      </c>
    </row>
    <row r="120" spans="1:26" x14ac:dyDescent="0.25">
      <c r="A120" s="434" t="s">
        <v>34</v>
      </c>
      <c r="B120" s="427">
        <v>0</v>
      </c>
      <c r="C120" s="428">
        <v>43.823999999999998</v>
      </c>
      <c r="D120" s="428">
        <v>39.963999999999999</v>
      </c>
      <c r="E120" s="428">
        <v>26.780999999999999</v>
      </c>
      <c r="F120" s="428">
        <v>32.600999999999999</v>
      </c>
      <c r="G120" s="428">
        <v>34.738999999999997</v>
      </c>
      <c r="H120" s="428">
        <v>35.808</v>
      </c>
      <c r="I120" s="428">
        <v>34.442</v>
      </c>
      <c r="J120" s="428">
        <v>29.276</v>
      </c>
      <c r="K120" s="428">
        <v>22.742999999999999</v>
      </c>
      <c r="L120" s="428">
        <v>9.5609999999999999</v>
      </c>
      <c r="M120" s="428">
        <v>3.5630000000000002</v>
      </c>
      <c r="N120" s="428">
        <v>0</v>
      </c>
      <c r="O120" s="433">
        <v>0</v>
      </c>
      <c r="P120" s="433">
        <v>0</v>
      </c>
      <c r="Q120" s="433">
        <v>0</v>
      </c>
      <c r="R120" s="433">
        <v>0</v>
      </c>
      <c r="S120" s="433">
        <v>0</v>
      </c>
      <c r="T120" s="433">
        <f>S120</f>
        <v>0</v>
      </c>
      <c r="U120" s="433">
        <f>T120</f>
        <v>0</v>
      </c>
      <c r="V120" s="433">
        <f>U120</f>
        <v>0</v>
      </c>
      <c r="W120" s="433">
        <f>V120</f>
        <v>0</v>
      </c>
      <c r="X120" s="433">
        <f>W120</f>
        <v>0</v>
      </c>
      <c r="Y120" s="439">
        <v>0</v>
      </c>
    </row>
    <row r="121" spans="1:26" ht="13.8" thickBot="1" x14ac:dyDescent="0.3">
      <c r="A121" s="435" t="s">
        <v>117</v>
      </c>
      <c r="B121" s="429">
        <f t="shared" ref="B121:V121" si="27">(C120+B120)*(C119-B119)/2</f>
        <v>0.43823999999999996</v>
      </c>
      <c r="C121" s="430">
        <f t="shared" si="27"/>
        <v>0.29325799999999996</v>
      </c>
      <c r="D121" s="430">
        <f t="shared" si="27"/>
        <v>0.73419500000000015</v>
      </c>
      <c r="E121" s="430">
        <f t="shared" si="27"/>
        <v>1.9002239999999999</v>
      </c>
      <c r="F121" s="430">
        <f t="shared" si="27"/>
        <v>2.6936</v>
      </c>
      <c r="G121" s="430">
        <f t="shared" si="27"/>
        <v>3.1393414999999987</v>
      </c>
      <c r="H121" s="430">
        <f t="shared" si="27"/>
        <v>7.6572500000000012</v>
      </c>
      <c r="I121" s="430">
        <f t="shared" si="27"/>
        <v>7.2319930000000001</v>
      </c>
      <c r="J121" s="430">
        <f>(K120+J120)*(K119-J119)/2</f>
        <v>1.144418000000001</v>
      </c>
      <c r="K121" s="430">
        <f t="shared" si="27"/>
        <v>0.58147200000000054</v>
      </c>
      <c r="L121" s="430">
        <f t="shared" si="27"/>
        <v>0.21654599999999946</v>
      </c>
      <c r="M121" s="430">
        <f t="shared" si="27"/>
        <v>5.3445000000000048E-2</v>
      </c>
      <c r="N121" s="430">
        <f t="shared" si="27"/>
        <v>0</v>
      </c>
      <c r="O121" s="430">
        <f t="shared" si="27"/>
        <v>0</v>
      </c>
      <c r="P121" s="430">
        <f t="shared" si="27"/>
        <v>0</v>
      </c>
      <c r="Q121" s="430">
        <f t="shared" si="27"/>
        <v>0</v>
      </c>
      <c r="R121" s="430">
        <f t="shared" si="27"/>
        <v>0</v>
      </c>
      <c r="S121" s="430">
        <f>(T120+S120)*(T119-S119)/2</f>
        <v>0</v>
      </c>
      <c r="T121" s="430">
        <f t="shared" si="27"/>
        <v>0</v>
      </c>
      <c r="U121" s="430">
        <f t="shared" si="27"/>
        <v>0</v>
      </c>
      <c r="V121" s="430">
        <f t="shared" si="27"/>
        <v>0</v>
      </c>
      <c r="W121" s="430">
        <f>(X120+W120)*(X119-W119)/2</f>
        <v>0</v>
      </c>
      <c r="X121" s="430">
        <f>(Y120+X120)*(Y119-X119)/2</f>
        <v>0</v>
      </c>
      <c r="Y121" s="424"/>
    </row>
    <row r="122" spans="1:26" ht="13.8" thickBot="1" x14ac:dyDescent="0.3">
      <c r="A122" s="492" t="s">
        <v>391</v>
      </c>
    </row>
    <row r="123" spans="1:26" ht="13.8" thickBot="1" x14ac:dyDescent="0.3">
      <c r="A123" s="416" t="s">
        <v>392</v>
      </c>
      <c r="B123" s="414">
        <f>ROW(A123)</f>
        <v>123</v>
      </c>
      <c r="C123" s="418" t="s">
        <v>116</v>
      </c>
      <c r="D123" s="408">
        <f>SUM(B126:Y126)</f>
        <v>49.788765499999997</v>
      </c>
      <c r="E123" s="418" t="s">
        <v>115</v>
      </c>
      <c r="F123" s="409">
        <v>231</v>
      </c>
      <c r="G123" s="418" t="s">
        <v>57</v>
      </c>
      <c r="H123" s="86">
        <v>7.2999999999999995E-2</v>
      </c>
      <c r="I123" s="418" t="s">
        <v>272</v>
      </c>
      <c r="J123" s="410">
        <f>H123-L123</f>
        <v>2.7999999999999997E-2</v>
      </c>
      <c r="K123" s="418" t="s">
        <v>273</v>
      </c>
      <c r="L123" s="86">
        <v>4.4999999999999998E-2</v>
      </c>
      <c r="M123" s="418" t="s">
        <v>58</v>
      </c>
      <c r="N123" s="457">
        <v>50</v>
      </c>
      <c r="O123" s="418" t="s">
        <v>60</v>
      </c>
      <c r="P123" s="457">
        <v>50</v>
      </c>
      <c r="Q123" s="418" t="s">
        <v>61</v>
      </c>
      <c r="R123" s="87">
        <v>101</v>
      </c>
      <c r="S123" s="418" t="s">
        <v>62</v>
      </c>
      <c r="T123" s="87">
        <v>24</v>
      </c>
      <c r="U123" s="418" t="s">
        <v>55</v>
      </c>
      <c r="V123" s="88" t="s">
        <v>120</v>
      </c>
      <c r="W123" s="547" t="s">
        <v>396</v>
      </c>
      <c r="X123" s="549">
        <v>1</v>
      </c>
      <c r="Y123" s="547" t="s">
        <v>395</v>
      </c>
      <c r="Z123" s="413">
        <v>13</v>
      </c>
    </row>
    <row r="124" spans="1:26" x14ac:dyDescent="0.25">
      <c r="A124" s="417" t="s">
        <v>33</v>
      </c>
      <c r="B124" s="556">
        <v>0</v>
      </c>
      <c r="C124" s="556">
        <v>1E-3</v>
      </c>
      <c r="D124" s="556">
        <v>2.7E-2</v>
      </c>
      <c r="E124" s="556">
        <v>5.0999999999999997E-2</v>
      </c>
      <c r="F124" s="556">
        <v>0.06</v>
      </c>
      <c r="G124" s="556">
        <v>9.1999999999999998E-2</v>
      </c>
      <c r="H124" s="556">
        <v>0.11899999999999999</v>
      </c>
      <c r="I124" s="556">
        <v>0.17</v>
      </c>
      <c r="J124" s="556">
        <v>0.3</v>
      </c>
      <c r="K124" s="556">
        <v>0.46200000000000002</v>
      </c>
      <c r="L124" s="556">
        <v>0.56899999999999995</v>
      </c>
      <c r="M124" s="556">
        <v>0.67500000000000004</v>
      </c>
      <c r="N124" s="556">
        <v>0.77800000000000002</v>
      </c>
      <c r="O124" s="556">
        <v>0.84599999999999997</v>
      </c>
      <c r="P124" s="556">
        <v>0.91700000000000004</v>
      </c>
      <c r="Q124" s="556">
        <v>1.0089999999999999</v>
      </c>
      <c r="R124" s="556">
        <v>1.032</v>
      </c>
      <c r="S124" s="556">
        <v>1.0449999999999999</v>
      </c>
      <c r="T124" s="442">
        <v>2</v>
      </c>
      <c r="U124" s="442">
        <v>2</v>
      </c>
      <c r="V124" s="442">
        <v>2</v>
      </c>
      <c r="W124" s="442">
        <v>2</v>
      </c>
      <c r="X124" s="442">
        <v>2</v>
      </c>
      <c r="Y124" s="444">
        <v>1000</v>
      </c>
    </row>
    <row r="125" spans="1:26" x14ac:dyDescent="0.25">
      <c r="A125" s="434" t="s">
        <v>34</v>
      </c>
      <c r="B125" s="556">
        <v>0</v>
      </c>
      <c r="C125" s="556">
        <v>5.1449999999999996</v>
      </c>
      <c r="D125" s="556">
        <v>67.975999999999999</v>
      </c>
      <c r="E125" s="556">
        <v>53.807000000000002</v>
      </c>
      <c r="F125" s="556">
        <v>52.88</v>
      </c>
      <c r="G125" s="556">
        <v>55.915999999999997</v>
      </c>
      <c r="H125" s="556">
        <v>57.94</v>
      </c>
      <c r="I125" s="556">
        <v>59.710999999999999</v>
      </c>
      <c r="J125" s="556">
        <v>61.145000000000003</v>
      </c>
      <c r="K125" s="556">
        <v>58.951999999999998</v>
      </c>
      <c r="L125" s="556">
        <v>55.578000000000003</v>
      </c>
      <c r="M125" s="556">
        <v>52.204999999999998</v>
      </c>
      <c r="N125" s="556">
        <v>46.386000000000003</v>
      </c>
      <c r="O125" s="556">
        <v>38.119999999999997</v>
      </c>
      <c r="P125" s="556">
        <v>20.324999999999999</v>
      </c>
      <c r="Q125" s="556">
        <v>3.5419999999999998</v>
      </c>
      <c r="R125" s="556">
        <v>1.6020000000000001</v>
      </c>
      <c r="S125" s="556">
        <v>0</v>
      </c>
      <c r="T125" s="433">
        <f>S125</f>
        <v>0</v>
      </c>
      <c r="U125" s="433">
        <f>T125</f>
        <v>0</v>
      </c>
      <c r="V125" s="433">
        <f>U125</f>
        <v>0</v>
      </c>
      <c r="W125" s="433">
        <f>V125</f>
        <v>0</v>
      </c>
      <c r="X125" s="433">
        <f>W125</f>
        <v>0</v>
      </c>
      <c r="Y125" s="439">
        <v>0</v>
      </c>
    </row>
    <row r="126" spans="1:26" ht="13.8" thickBot="1" x14ac:dyDescent="0.3">
      <c r="A126" s="435" t="s">
        <v>117</v>
      </c>
      <c r="B126" s="429">
        <f t="shared" ref="B126:X126" si="28">(C125+B125)*(C124-B124)/2</f>
        <v>2.5724999999999997E-3</v>
      </c>
      <c r="C126" s="430">
        <f t="shared" si="28"/>
        <v>0.95057299999999989</v>
      </c>
      <c r="D126" s="430">
        <f t="shared" si="28"/>
        <v>1.4613959999999999</v>
      </c>
      <c r="E126" s="430">
        <f t="shared" si="28"/>
        <v>0.48009150000000012</v>
      </c>
      <c r="F126" s="430">
        <f t="shared" si="28"/>
        <v>1.7407359999999998</v>
      </c>
      <c r="G126" s="430">
        <f t="shared" si="28"/>
        <v>1.5370559999999998</v>
      </c>
      <c r="H126" s="430">
        <f t="shared" si="28"/>
        <v>3.0001005000000007</v>
      </c>
      <c r="I126" s="430">
        <f t="shared" si="28"/>
        <v>7.8556399999999984</v>
      </c>
      <c r="J126" s="430">
        <f t="shared" si="28"/>
        <v>9.727857000000002</v>
      </c>
      <c r="K126" s="430">
        <f t="shared" si="28"/>
        <v>6.1273549999999961</v>
      </c>
      <c r="L126" s="430">
        <f t="shared" si="28"/>
        <v>5.7124990000000055</v>
      </c>
      <c r="M126" s="430">
        <f t="shared" si="28"/>
        <v>5.0774364999999992</v>
      </c>
      <c r="N126" s="430">
        <f t="shared" si="28"/>
        <v>2.8732039999999976</v>
      </c>
      <c r="O126" s="430">
        <f t="shared" si="28"/>
        <v>2.0747975000000016</v>
      </c>
      <c r="P126" s="430">
        <f t="shared" si="28"/>
        <v>1.0978819999999982</v>
      </c>
      <c r="Q126" s="430">
        <f t="shared" si="28"/>
        <v>5.915600000000034E-2</v>
      </c>
      <c r="R126" s="430">
        <f t="shared" si="28"/>
        <v>1.0412999999999921E-2</v>
      </c>
      <c r="S126" s="430">
        <f t="shared" si="28"/>
        <v>0</v>
      </c>
      <c r="T126" s="430">
        <f t="shared" si="28"/>
        <v>0</v>
      </c>
      <c r="U126" s="430">
        <f t="shared" si="28"/>
        <v>0</v>
      </c>
      <c r="V126" s="430">
        <f t="shared" si="28"/>
        <v>0</v>
      </c>
      <c r="W126" s="430">
        <f t="shared" si="28"/>
        <v>0</v>
      </c>
      <c r="X126" s="430">
        <f t="shared" si="28"/>
        <v>0</v>
      </c>
      <c r="Y126" s="424"/>
    </row>
    <row r="127" spans="1:26" ht="13.8" thickBot="1" x14ac:dyDescent="0.3"/>
    <row r="128" spans="1:26" ht="13.8" thickBot="1" x14ac:dyDescent="0.3">
      <c r="A128" s="416" t="s">
        <v>393</v>
      </c>
      <c r="B128" s="414">
        <f>ROW(A128)</f>
        <v>128</v>
      </c>
      <c r="C128" s="418" t="s">
        <v>116</v>
      </c>
      <c r="D128" s="408">
        <f>SUM(B131:Y131)</f>
        <v>52.815674000000008</v>
      </c>
      <c r="E128" s="418" t="s">
        <v>115</v>
      </c>
      <c r="F128" s="409">
        <v>239</v>
      </c>
      <c r="G128" s="418" t="s">
        <v>57</v>
      </c>
      <c r="H128" s="86">
        <v>7.2999999999999995E-2</v>
      </c>
      <c r="I128" s="418" t="s">
        <v>272</v>
      </c>
      <c r="J128" s="410">
        <f>H128-L128</f>
        <v>2.8999999999999998E-2</v>
      </c>
      <c r="K128" s="418" t="s">
        <v>273</v>
      </c>
      <c r="L128" s="86">
        <v>4.3999999999999997E-2</v>
      </c>
      <c r="M128" s="418" t="s">
        <v>58</v>
      </c>
      <c r="N128" s="457">
        <v>50</v>
      </c>
      <c r="O128" s="418" t="s">
        <v>60</v>
      </c>
      <c r="P128" s="457">
        <v>50</v>
      </c>
      <c r="Q128" s="418" t="s">
        <v>61</v>
      </c>
      <c r="R128" s="87">
        <v>101</v>
      </c>
      <c r="S128" s="418" t="s">
        <v>62</v>
      </c>
      <c r="T128" s="87">
        <v>24</v>
      </c>
      <c r="U128" s="418" t="s">
        <v>55</v>
      </c>
      <c r="V128" s="88" t="s">
        <v>120</v>
      </c>
      <c r="W128" s="547" t="s">
        <v>396</v>
      </c>
      <c r="X128" s="549">
        <v>0.77</v>
      </c>
      <c r="Y128" s="547" t="s">
        <v>395</v>
      </c>
      <c r="Z128" s="413">
        <v>14</v>
      </c>
    </row>
    <row r="129" spans="1:26" x14ac:dyDescent="0.25">
      <c r="A129" s="417" t="s">
        <v>33</v>
      </c>
      <c r="B129" s="556">
        <v>0</v>
      </c>
      <c r="C129" s="556">
        <v>1E-3</v>
      </c>
      <c r="D129" s="556">
        <v>1.2999999999999999E-2</v>
      </c>
      <c r="E129" s="556">
        <v>2.3E-2</v>
      </c>
      <c r="F129" s="556">
        <v>5.1999999999999998E-2</v>
      </c>
      <c r="G129" s="556">
        <v>0.1</v>
      </c>
      <c r="H129" s="556">
        <v>0.379</v>
      </c>
      <c r="I129" s="556">
        <v>0.64100000000000001</v>
      </c>
      <c r="J129" s="556">
        <v>0.66500000000000004</v>
      </c>
      <c r="K129" s="556">
        <v>0.70599999999999996</v>
      </c>
      <c r="L129" s="556">
        <v>0.74399999999999999</v>
      </c>
      <c r="M129" s="556">
        <v>0.78700000000000003</v>
      </c>
      <c r="N129" s="556">
        <v>0.81599999999999995</v>
      </c>
      <c r="O129" s="426">
        <v>1</v>
      </c>
      <c r="P129" s="426">
        <v>1</v>
      </c>
      <c r="Q129" s="426">
        <v>1</v>
      </c>
      <c r="R129" s="426">
        <v>1</v>
      </c>
      <c r="S129" s="426">
        <v>1</v>
      </c>
      <c r="T129" s="426">
        <v>1</v>
      </c>
      <c r="U129" s="426">
        <v>1</v>
      </c>
      <c r="V129" s="442">
        <v>1</v>
      </c>
      <c r="W129" s="442">
        <v>2</v>
      </c>
      <c r="X129" s="442">
        <v>2</v>
      </c>
      <c r="Y129" s="444">
        <v>1000</v>
      </c>
    </row>
    <row r="130" spans="1:26" x14ac:dyDescent="0.25">
      <c r="A130" s="434" t="s">
        <v>34</v>
      </c>
      <c r="B130" s="556">
        <v>0</v>
      </c>
      <c r="C130" s="556">
        <v>8.3030000000000008</v>
      </c>
      <c r="D130" s="556">
        <v>85.68</v>
      </c>
      <c r="E130" s="556">
        <v>96.149000000000001</v>
      </c>
      <c r="F130" s="556">
        <v>78.820999999999998</v>
      </c>
      <c r="G130" s="556">
        <v>83.634</v>
      </c>
      <c r="H130" s="556">
        <v>77.858000000000004</v>
      </c>
      <c r="I130" s="556">
        <v>62.575000000000003</v>
      </c>
      <c r="J130" s="556">
        <v>55.716000000000001</v>
      </c>
      <c r="K130" s="556">
        <v>23.946999999999999</v>
      </c>
      <c r="L130" s="556">
        <v>9.1460000000000008</v>
      </c>
      <c r="M130" s="556">
        <v>2.7679999999999998</v>
      </c>
      <c r="N130" s="556">
        <v>0</v>
      </c>
      <c r="O130" s="428">
        <v>0</v>
      </c>
      <c r="P130" s="428">
        <v>0</v>
      </c>
      <c r="Q130" s="428">
        <v>0</v>
      </c>
      <c r="R130" s="428">
        <v>0</v>
      </c>
      <c r="S130" s="428">
        <v>0</v>
      </c>
      <c r="T130" s="428">
        <v>0</v>
      </c>
      <c r="U130" s="428">
        <v>0</v>
      </c>
      <c r="V130" s="433">
        <f>U130</f>
        <v>0</v>
      </c>
      <c r="W130" s="433">
        <f>V130</f>
        <v>0</v>
      </c>
      <c r="X130" s="433">
        <f>W130</f>
        <v>0</v>
      </c>
      <c r="Y130" s="439">
        <v>0</v>
      </c>
    </row>
    <row r="131" spans="1:26" ht="13.8" thickBot="1" x14ac:dyDescent="0.3">
      <c r="A131" s="435" t="s">
        <v>117</v>
      </c>
      <c r="B131" s="429">
        <f t="shared" ref="B131:X131" si="29">(C130+B130)*(C129-B129)/2</f>
        <v>4.1515000000000007E-3</v>
      </c>
      <c r="C131" s="430">
        <f t="shared" si="29"/>
        <v>0.56389800000000001</v>
      </c>
      <c r="D131" s="430">
        <f t="shared" si="29"/>
        <v>0.90914500000000009</v>
      </c>
      <c r="E131" s="430">
        <f t="shared" si="29"/>
        <v>2.5370649999999997</v>
      </c>
      <c r="F131" s="430">
        <f t="shared" si="29"/>
        <v>3.8989200000000004</v>
      </c>
      <c r="G131" s="430">
        <f t="shared" si="29"/>
        <v>22.528134000000005</v>
      </c>
      <c r="H131" s="430">
        <f t="shared" si="29"/>
        <v>18.396723000000001</v>
      </c>
      <c r="I131" s="430">
        <f t="shared" si="29"/>
        <v>1.4194920000000013</v>
      </c>
      <c r="J131" s="430">
        <f t="shared" si="29"/>
        <v>1.633091499999997</v>
      </c>
      <c r="K131" s="430">
        <f t="shared" si="29"/>
        <v>0.62876700000000063</v>
      </c>
      <c r="L131" s="430">
        <f t="shared" si="29"/>
        <v>0.25615100000000024</v>
      </c>
      <c r="M131" s="430">
        <f t="shared" si="29"/>
        <v>4.013599999999988E-2</v>
      </c>
      <c r="N131" s="430">
        <f t="shared" si="29"/>
        <v>0</v>
      </c>
      <c r="O131" s="430">
        <f t="shared" si="29"/>
        <v>0</v>
      </c>
      <c r="P131" s="430">
        <f t="shared" si="29"/>
        <v>0</v>
      </c>
      <c r="Q131" s="430">
        <f t="shared" si="29"/>
        <v>0</v>
      </c>
      <c r="R131" s="430">
        <f t="shared" si="29"/>
        <v>0</v>
      </c>
      <c r="S131" s="430">
        <f t="shared" si="29"/>
        <v>0</v>
      </c>
      <c r="T131" s="430">
        <f t="shared" si="29"/>
        <v>0</v>
      </c>
      <c r="U131" s="430">
        <f t="shared" si="29"/>
        <v>0</v>
      </c>
      <c r="V131" s="430">
        <f t="shared" si="29"/>
        <v>0</v>
      </c>
      <c r="W131" s="430">
        <f t="shared" si="29"/>
        <v>0</v>
      </c>
      <c r="X131" s="430">
        <f t="shared" si="29"/>
        <v>0</v>
      </c>
      <c r="Y131" s="424"/>
    </row>
    <row r="132" spans="1:26" ht="13.8" thickBot="1" x14ac:dyDescent="0.3">
      <c r="A132" s="492" t="s">
        <v>315</v>
      </c>
    </row>
    <row r="133" spans="1:26" ht="13.8" thickBot="1" x14ac:dyDescent="0.3">
      <c r="A133" s="416" t="s">
        <v>383</v>
      </c>
      <c r="B133" s="414">
        <f>ROW(A133)</f>
        <v>133</v>
      </c>
      <c r="C133" s="418" t="s">
        <v>116</v>
      </c>
      <c r="D133" s="408">
        <f>SUM(B136:Y136)</f>
        <v>41.835000000000015</v>
      </c>
      <c r="E133" s="418" t="s">
        <v>115</v>
      </c>
      <c r="F133" s="409">
        <f>D133/g/J133</f>
        <v>121.84359982525126</v>
      </c>
      <c r="G133" s="418" t="s">
        <v>57</v>
      </c>
      <c r="H133" s="86">
        <v>0.104</v>
      </c>
      <c r="I133" s="418" t="s">
        <v>272</v>
      </c>
      <c r="J133" s="410">
        <f>H133-L133</f>
        <v>3.4999999999999989E-2</v>
      </c>
      <c r="K133" s="418" t="s">
        <v>273</v>
      </c>
      <c r="L133" s="86">
        <v>6.9000000000000006E-2</v>
      </c>
      <c r="M133" s="418" t="s">
        <v>58</v>
      </c>
      <c r="N133" s="87">
        <v>49</v>
      </c>
      <c r="O133" s="418" t="s">
        <v>60</v>
      </c>
      <c r="P133" s="87">
        <v>49</v>
      </c>
      <c r="Q133" s="418" t="s">
        <v>61</v>
      </c>
      <c r="R133" s="87">
        <v>98</v>
      </c>
      <c r="S133" s="418" t="s">
        <v>62</v>
      </c>
      <c r="T133" s="87">
        <v>29</v>
      </c>
      <c r="U133" s="418" t="s">
        <v>55</v>
      </c>
      <c r="V133" s="88" t="s">
        <v>401</v>
      </c>
      <c r="W133" s="547" t="s">
        <v>396</v>
      </c>
      <c r="X133" s="549">
        <v>1.07</v>
      </c>
      <c r="Y133" s="547" t="s">
        <v>395</v>
      </c>
      <c r="Z133" s="413">
        <v>11</v>
      </c>
    </row>
    <row r="134" spans="1:26" x14ac:dyDescent="0.25">
      <c r="A134" s="417" t="s">
        <v>33</v>
      </c>
      <c r="B134" s="441">
        <v>0</v>
      </c>
      <c r="C134" s="442">
        <v>0.01</v>
      </c>
      <c r="D134" s="442">
        <v>0.02</v>
      </c>
      <c r="E134" s="442">
        <v>0.03</v>
      </c>
      <c r="F134" s="442">
        <v>0.04</v>
      </c>
      <c r="G134" s="442">
        <v>0.06</v>
      </c>
      <c r="H134" s="442">
        <v>7.0000000000000007E-2</v>
      </c>
      <c r="I134" s="442">
        <v>0.08</v>
      </c>
      <c r="J134" s="442">
        <v>0.1</v>
      </c>
      <c r="K134" s="442">
        <v>0.2</v>
      </c>
      <c r="L134" s="442">
        <v>0.3</v>
      </c>
      <c r="M134" s="442">
        <v>0.4</v>
      </c>
      <c r="N134" s="442">
        <v>0.5</v>
      </c>
      <c r="O134" s="442">
        <v>0.6</v>
      </c>
      <c r="P134" s="442">
        <v>0.7</v>
      </c>
      <c r="Q134" s="442">
        <v>0.8</v>
      </c>
      <c r="R134" s="442">
        <v>0.85</v>
      </c>
      <c r="S134" s="442">
        <v>0.92</v>
      </c>
      <c r="T134" s="442">
        <v>0.95</v>
      </c>
      <c r="U134" s="442">
        <v>0.99</v>
      </c>
      <c r="V134" s="442">
        <v>1.05</v>
      </c>
      <c r="W134" s="442">
        <v>1.05</v>
      </c>
      <c r="X134" s="442">
        <v>2</v>
      </c>
      <c r="Y134" s="444">
        <v>1000</v>
      </c>
    </row>
    <row r="135" spans="1:26" x14ac:dyDescent="0.25">
      <c r="A135" s="434" t="s">
        <v>34</v>
      </c>
      <c r="B135" s="443">
        <v>0</v>
      </c>
      <c r="C135" s="433">
        <v>12</v>
      </c>
      <c r="D135" s="433">
        <v>46</v>
      </c>
      <c r="E135" s="433">
        <v>75</v>
      </c>
      <c r="F135" s="433">
        <v>79</v>
      </c>
      <c r="G135" s="433">
        <v>77</v>
      </c>
      <c r="H135" s="433">
        <v>62</v>
      </c>
      <c r="I135" s="433">
        <v>32</v>
      </c>
      <c r="J135" s="433">
        <v>35</v>
      </c>
      <c r="K135" s="433">
        <v>38</v>
      </c>
      <c r="L135" s="433">
        <v>39</v>
      </c>
      <c r="M135" s="433">
        <v>41</v>
      </c>
      <c r="N135" s="433">
        <v>43</v>
      </c>
      <c r="O135" s="433">
        <v>43</v>
      </c>
      <c r="P135" s="433">
        <v>43</v>
      </c>
      <c r="Q135" s="433">
        <v>43</v>
      </c>
      <c r="R135" s="433">
        <v>47</v>
      </c>
      <c r="S135" s="433">
        <v>54</v>
      </c>
      <c r="T135" s="433">
        <v>32</v>
      </c>
      <c r="U135" s="433">
        <v>8</v>
      </c>
      <c r="V135" s="433">
        <v>0</v>
      </c>
      <c r="W135" s="433">
        <v>0</v>
      </c>
      <c r="X135" s="433">
        <v>0</v>
      </c>
      <c r="Y135" s="439">
        <v>0</v>
      </c>
    </row>
    <row r="136" spans="1:26" ht="13.8" thickBot="1" x14ac:dyDescent="0.3">
      <c r="A136" s="435" t="s">
        <v>117</v>
      </c>
      <c r="B136" s="429">
        <f t="shared" ref="B136:X136" si="30">(C135+B135)*(C134-B134)/2</f>
        <v>0.06</v>
      </c>
      <c r="C136" s="430">
        <f t="shared" si="30"/>
        <v>0.28999999999999998</v>
      </c>
      <c r="D136" s="430">
        <f t="shared" si="30"/>
        <v>0.60499999999999987</v>
      </c>
      <c r="E136" s="430">
        <f t="shared" si="30"/>
        <v>0.77000000000000013</v>
      </c>
      <c r="F136" s="430">
        <f t="shared" si="30"/>
        <v>1.5599999999999998</v>
      </c>
      <c r="G136" s="430">
        <f t="shared" si="30"/>
        <v>0.69500000000000062</v>
      </c>
      <c r="H136" s="430">
        <f t="shared" si="30"/>
        <v>0.46999999999999975</v>
      </c>
      <c r="I136" s="430">
        <f t="shared" si="30"/>
        <v>0.67000000000000015</v>
      </c>
      <c r="J136" s="430">
        <f t="shared" si="30"/>
        <v>3.6500000000000004</v>
      </c>
      <c r="K136" s="430">
        <f t="shared" si="30"/>
        <v>3.8499999999999992</v>
      </c>
      <c r="L136" s="430">
        <f t="shared" si="30"/>
        <v>4.0000000000000018</v>
      </c>
      <c r="M136" s="430">
        <f t="shared" si="30"/>
        <v>4.1999999999999993</v>
      </c>
      <c r="N136" s="430">
        <f t="shared" si="30"/>
        <v>4.2999999999999989</v>
      </c>
      <c r="O136" s="430">
        <f t="shared" si="30"/>
        <v>4.2999999999999989</v>
      </c>
      <c r="P136" s="430">
        <f t="shared" si="30"/>
        <v>4.3000000000000043</v>
      </c>
      <c r="Q136" s="430">
        <f t="shared" si="30"/>
        <v>2.2499999999999969</v>
      </c>
      <c r="R136" s="430">
        <f t="shared" si="30"/>
        <v>3.5350000000000033</v>
      </c>
      <c r="S136" s="430">
        <f t="shared" si="30"/>
        <v>1.2899999999999965</v>
      </c>
      <c r="T136" s="430">
        <f t="shared" si="30"/>
        <v>0.80000000000000071</v>
      </c>
      <c r="U136" s="430">
        <f t="shared" si="30"/>
        <v>0.24000000000000021</v>
      </c>
      <c r="V136" s="430">
        <f t="shared" si="30"/>
        <v>0</v>
      </c>
      <c r="W136" s="430">
        <f t="shared" si="30"/>
        <v>0</v>
      </c>
      <c r="X136" s="430">
        <f t="shared" si="30"/>
        <v>0</v>
      </c>
      <c r="Y136" s="424"/>
    </row>
    <row r="137" spans="1:26" ht="13.8" thickBot="1" x14ac:dyDescent="0.3">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6" ht="13.8" thickBot="1" x14ac:dyDescent="0.3">
      <c r="A138" s="416" t="s">
        <v>384</v>
      </c>
      <c r="B138" s="414">
        <f>ROW(A138)</f>
        <v>138</v>
      </c>
      <c r="C138" s="418" t="s">
        <v>116</v>
      </c>
      <c r="D138" s="408">
        <f>SUM(B141:Y141)</f>
        <v>52.564999999999998</v>
      </c>
      <c r="E138" s="418" t="s">
        <v>115</v>
      </c>
      <c r="F138" s="409">
        <f>D138/g/J138</f>
        <v>167.44712028542301</v>
      </c>
      <c r="G138" s="418" t="s">
        <v>57</v>
      </c>
      <c r="H138" s="86">
        <v>0.10100000000000001</v>
      </c>
      <c r="I138" s="418" t="s">
        <v>272</v>
      </c>
      <c r="J138" s="410">
        <f>H138-L138</f>
        <v>3.2000000000000001E-2</v>
      </c>
      <c r="K138" s="418" t="s">
        <v>273</v>
      </c>
      <c r="L138" s="86">
        <v>6.9000000000000006E-2</v>
      </c>
      <c r="M138" s="418" t="s">
        <v>58</v>
      </c>
      <c r="N138" s="87">
        <v>49</v>
      </c>
      <c r="O138" s="418" t="s">
        <v>60</v>
      </c>
      <c r="P138" s="87">
        <v>49</v>
      </c>
      <c r="Q138" s="418" t="s">
        <v>61</v>
      </c>
      <c r="R138" s="87">
        <v>98</v>
      </c>
      <c r="S138" s="418" t="s">
        <v>62</v>
      </c>
      <c r="T138" s="87">
        <v>29</v>
      </c>
      <c r="U138" s="418" t="s">
        <v>55</v>
      </c>
      <c r="V138" s="88" t="s">
        <v>402</v>
      </c>
      <c r="W138" s="547" t="s">
        <v>396</v>
      </c>
      <c r="X138" s="549">
        <v>1.8</v>
      </c>
      <c r="Y138" s="547" t="s">
        <v>395</v>
      </c>
      <c r="Z138" s="413">
        <v>12</v>
      </c>
    </row>
    <row r="139" spans="1:26" x14ac:dyDescent="0.25">
      <c r="A139" s="417" t="s">
        <v>33</v>
      </c>
      <c r="B139" s="441">
        <v>0</v>
      </c>
      <c r="C139" s="442">
        <v>0.01</v>
      </c>
      <c r="D139" s="442">
        <v>0.03</v>
      </c>
      <c r="E139" s="442">
        <v>0.04</v>
      </c>
      <c r="F139" s="442">
        <v>0.05</v>
      </c>
      <c r="G139" s="442">
        <v>0.06</v>
      </c>
      <c r="H139" s="442">
        <v>7.0000000000000007E-2</v>
      </c>
      <c r="I139" s="442">
        <v>0.08</v>
      </c>
      <c r="J139" s="442">
        <v>0.09</v>
      </c>
      <c r="K139" s="442">
        <v>0.1</v>
      </c>
      <c r="L139" s="442">
        <v>0.2</v>
      </c>
      <c r="M139" s="442">
        <v>0.3</v>
      </c>
      <c r="N139" s="442">
        <v>0.4</v>
      </c>
      <c r="O139" s="442">
        <v>0.5</v>
      </c>
      <c r="P139" s="442">
        <v>0.7</v>
      </c>
      <c r="Q139" s="442">
        <v>0.8</v>
      </c>
      <c r="R139" s="442">
        <v>0.9</v>
      </c>
      <c r="S139" s="442">
        <v>1</v>
      </c>
      <c r="T139" s="442">
        <v>1.1000000000000001</v>
      </c>
      <c r="U139" s="442">
        <v>1.24</v>
      </c>
      <c r="V139" s="442">
        <v>1.3</v>
      </c>
      <c r="W139" s="442">
        <v>1.5</v>
      </c>
      <c r="X139" s="442">
        <v>2</v>
      </c>
      <c r="Y139" s="444">
        <v>1000</v>
      </c>
    </row>
    <row r="140" spans="1:26" x14ac:dyDescent="0.25">
      <c r="A140" s="434" t="s">
        <v>34</v>
      </c>
      <c r="B140" s="443">
        <v>0</v>
      </c>
      <c r="C140" s="433">
        <v>12</v>
      </c>
      <c r="D140" s="433">
        <v>41</v>
      </c>
      <c r="E140" s="433">
        <v>42</v>
      </c>
      <c r="F140" s="433">
        <v>42</v>
      </c>
      <c r="G140" s="433">
        <v>40</v>
      </c>
      <c r="H140" s="433">
        <v>34</v>
      </c>
      <c r="I140" s="433">
        <v>34</v>
      </c>
      <c r="J140" s="433">
        <v>35</v>
      </c>
      <c r="K140" s="433">
        <v>36</v>
      </c>
      <c r="L140" s="433">
        <v>40</v>
      </c>
      <c r="M140" s="433">
        <v>42</v>
      </c>
      <c r="N140" s="433">
        <v>43</v>
      </c>
      <c r="O140" s="433">
        <v>43</v>
      </c>
      <c r="P140" s="433">
        <v>43</v>
      </c>
      <c r="Q140" s="433">
        <v>42</v>
      </c>
      <c r="R140" s="433">
        <v>41</v>
      </c>
      <c r="S140" s="433">
        <v>40</v>
      </c>
      <c r="T140" s="433">
        <v>38</v>
      </c>
      <c r="U140" s="433">
        <v>37</v>
      </c>
      <c r="V140" s="433">
        <v>12</v>
      </c>
      <c r="W140" s="433">
        <v>0</v>
      </c>
      <c r="X140" s="433">
        <v>0</v>
      </c>
      <c r="Y140" s="439">
        <v>0</v>
      </c>
    </row>
    <row r="141" spans="1:26" ht="13.8" thickBot="1" x14ac:dyDescent="0.3">
      <c r="A141" s="435" t="s">
        <v>117</v>
      </c>
      <c r="B141" s="429">
        <f t="shared" ref="B141:X141" si="31">(C140+B140)*(C139-B139)/2</f>
        <v>0.06</v>
      </c>
      <c r="C141" s="430">
        <f t="shared" si="31"/>
        <v>0.52999999999999992</v>
      </c>
      <c r="D141" s="430">
        <f t="shared" si="31"/>
        <v>0.41500000000000009</v>
      </c>
      <c r="E141" s="430">
        <f t="shared" si="31"/>
        <v>0.4200000000000001</v>
      </c>
      <c r="F141" s="430">
        <f t="shared" si="31"/>
        <v>0.40999999999999981</v>
      </c>
      <c r="G141" s="430">
        <f t="shared" si="31"/>
        <v>0.37000000000000033</v>
      </c>
      <c r="H141" s="430">
        <f t="shared" si="31"/>
        <v>0.33999999999999986</v>
      </c>
      <c r="I141" s="430">
        <f t="shared" si="31"/>
        <v>0.34499999999999981</v>
      </c>
      <c r="J141" s="430">
        <f t="shared" si="31"/>
        <v>0.35500000000000032</v>
      </c>
      <c r="K141" s="430">
        <f t="shared" si="31"/>
        <v>3.8000000000000003</v>
      </c>
      <c r="L141" s="430">
        <f t="shared" si="31"/>
        <v>4.0999999999999988</v>
      </c>
      <c r="M141" s="430">
        <f t="shared" si="31"/>
        <v>4.2500000000000018</v>
      </c>
      <c r="N141" s="430">
        <f t="shared" si="31"/>
        <v>4.2999999999999989</v>
      </c>
      <c r="O141" s="430">
        <f t="shared" si="31"/>
        <v>8.5999999999999979</v>
      </c>
      <c r="P141" s="430">
        <f t="shared" si="31"/>
        <v>4.2500000000000036</v>
      </c>
      <c r="Q141" s="430">
        <f t="shared" si="31"/>
        <v>4.1499999999999995</v>
      </c>
      <c r="R141" s="430">
        <f t="shared" si="31"/>
        <v>4.0499999999999989</v>
      </c>
      <c r="S141" s="430">
        <f t="shared" si="31"/>
        <v>3.9000000000000035</v>
      </c>
      <c r="T141" s="430">
        <f t="shared" si="31"/>
        <v>5.2499999999999964</v>
      </c>
      <c r="U141" s="430">
        <f t="shared" si="31"/>
        <v>1.4700000000000013</v>
      </c>
      <c r="V141" s="430">
        <f t="shared" si="31"/>
        <v>1.1999999999999997</v>
      </c>
      <c r="W141" s="430">
        <f t="shared" si="31"/>
        <v>0</v>
      </c>
      <c r="X141" s="430">
        <f t="shared" si="31"/>
        <v>0</v>
      </c>
      <c r="Y141" s="424"/>
    </row>
    <row r="142" spans="1:26" ht="13.8" thickBot="1" x14ac:dyDescent="0.3">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6" ht="13.8" thickBot="1" x14ac:dyDescent="0.3">
      <c r="A143" s="416" t="s">
        <v>385</v>
      </c>
      <c r="B143" s="414">
        <f>ROW(A143)</f>
        <v>143</v>
      </c>
      <c r="C143" s="418" t="s">
        <v>116</v>
      </c>
      <c r="D143" s="408">
        <f>SUM(B146:Y146)</f>
        <v>54.110016122119539</v>
      </c>
      <c r="E143" s="418" t="s">
        <v>115</v>
      </c>
      <c r="F143" s="409">
        <f>D143/g/J143</f>
        <v>146.69685764124625</v>
      </c>
      <c r="G143" s="418" t="s">
        <v>57</v>
      </c>
      <c r="H143" s="86">
        <v>0.10580000000000001</v>
      </c>
      <c r="I143" s="418" t="s">
        <v>272</v>
      </c>
      <c r="J143" s="410">
        <f>H143-L143</f>
        <v>3.7600000000000008E-2</v>
      </c>
      <c r="K143" s="418" t="s">
        <v>273</v>
      </c>
      <c r="L143" s="86">
        <v>6.8199999999999997E-2</v>
      </c>
      <c r="M143" s="418" t="s">
        <v>58</v>
      </c>
      <c r="N143" s="87">
        <v>49</v>
      </c>
      <c r="O143" s="418" t="s">
        <v>60</v>
      </c>
      <c r="P143" s="87">
        <v>49</v>
      </c>
      <c r="Q143" s="418" t="s">
        <v>61</v>
      </c>
      <c r="R143" s="87">
        <v>98</v>
      </c>
      <c r="S143" s="418" t="s">
        <v>62</v>
      </c>
      <c r="T143" s="87">
        <v>29</v>
      </c>
      <c r="U143" s="418" t="s">
        <v>55</v>
      </c>
      <c r="V143" s="88" t="s">
        <v>401</v>
      </c>
      <c r="W143" s="547" t="s">
        <v>396</v>
      </c>
      <c r="X143" s="549">
        <v>1.9</v>
      </c>
      <c r="Y143" s="547" t="s">
        <v>395</v>
      </c>
      <c r="Z143" s="413">
        <v>12</v>
      </c>
    </row>
    <row r="144" spans="1:26" x14ac:dyDescent="0.25">
      <c r="A144" s="417" t="s">
        <v>33</v>
      </c>
      <c r="B144" s="441">
        <v>0</v>
      </c>
      <c r="C144" s="442">
        <v>2.5000000000000001E-2</v>
      </c>
      <c r="D144" s="442">
        <v>0.05</v>
      </c>
      <c r="E144" s="442">
        <v>7.4999999999999997E-2</v>
      </c>
      <c r="F144" s="442">
        <v>0.1</v>
      </c>
      <c r="G144" s="442">
        <v>0.15</v>
      </c>
      <c r="H144" s="442">
        <v>0.17499999999999999</v>
      </c>
      <c r="I144" s="442">
        <v>0.2</v>
      </c>
      <c r="J144" s="442">
        <v>0.3</v>
      </c>
      <c r="K144" s="442">
        <v>0.4</v>
      </c>
      <c r="L144" s="442">
        <v>0.5</v>
      </c>
      <c r="M144" s="442">
        <v>0.6</v>
      </c>
      <c r="N144" s="442">
        <v>0.7</v>
      </c>
      <c r="O144" s="442">
        <v>0.8</v>
      </c>
      <c r="P144" s="442">
        <v>0.9</v>
      </c>
      <c r="Q144" s="442">
        <v>1.1000000000000001</v>
      </c>
      <c r="R144" s="442">
        <v>1.2</v>
      </c>
      <c r="S144" s="442">
        <v>1.6</v>
      </c>
      <c r="T144" s="442">
        <v>1.7</v>
      </c>
      <c r="U144" s="442">
        <v>1.8</v>
      </c>
      <c r="V144" s="442">
        <v>1.9</v>
      </c>
      <c r="W144" s="442">
        <v>1.9999</v>
      </c>
      <c r="X144" s="442">
        <v>2</v>
      </c>
      <c r="Y144" s="444">
        <v>1000</v>
      </c>
    </row>
    <row r="145" spans="1:26" x14ac:dyDescent="0.25">
      <c r="A145" s="434" t="s">
        <v>34</v>
      </c>
      <c r="B145" s="443">
        <v>0</v>
      </c>
      <c r="C145" s="431">
        <v>15.2574001848975</v>
      </c>
      <c r="D145" s="431">
        <v>26.377954255522496</v>
      </c>
      <c r="E145" s="431">
        <v>21.484910464447498</v>
      </c>
      <c r="F145" s="431">
        <v>24.020396792549999</v>
      </c>
      <c r="G145" s="431">
        <v>28.11276069054</v>
      </c>
      <c r="H145" s="431">
        <v>28.691029502212498</v>
      </c>
      <c r="I145" s="431">
        <v>29.180333881319996</v>
      </c>
      <c r="J145" s="431">
        <v>31.493409128009997</v>
      </c>
      <c r="K145" s="431">
        <v>32.560982318789996</v>
      </c>
      <c r="L145" s="431">
        <v>32.827875616484995</v>
      </c>
      <c r="M145" s="431">
        <v>32.649946751354996</v>
      </c>
      <c r="N145" s="431">
        <v>32.383053453659997</v>
      </c>
      <c r="O145" s="431">
        <v>32.249606804812501</v>
      </c>
      <c r="P145" s="431">
        <v>31.804784641987499</v>
      </c>
      <c r="Q145" s="431">
        <v>30.559282586077497</v>
      </c>
      <c r="R145" s="431">
        <v>30.069978206969999</v>
      </c>
      <c r="S145" s="431">
        <v>26.377954255522496</v>
      </c>
      <c r="T145" s="431">
        <v>24.865558901917499</v>
      </c>
      <c r="U145" s="431">
        <v>18.4601197572375</v>
      </c>
      <c r="V145" s="431">
        <v>7.5174945517424998</v>
      </c>
      <c r="W145" s="431">
        <v>1.3789487047575</v>
      </c>
      <c r="X145" s="433">
        <v>0</v>
      </c>
      <c r="Y145" s="439">
        <v>0</v>
      </c>
    </row>
    <row r="146" spans="1:26" ht="13.8" thickBot="1" x14ac:dyDescent="0.3">
      <c r="A146" s="435" t="s">
        <v>117</v>
      </c>
      <c r="B146" s="429">
        <f t="shared" ref="B146:V146" si="32">(C145+B145)*(C144-B144)/2</f>
        <v>0.19071750231121876</v>
      </c>
      <c r="C146" s="430">
        <f t="shared" si="32"/>
        <v>0.52044193050525001</v>
      </c>
      <c r="D146" s="430">
        <f t="shared" si="32"/>
        <v>0.5982858089996248</v>
      </c>
      <c r="E146" s="430">
        <f t="shared" si="32"/>
        <v>0.56881634071246889</v>
      </c>
      <c r="F146" s="430">
        <f t="shared" si="32"/>
        <v>1.3033289370772498</v>
      </c>
      <c r="G146" s="430">
        <f t="shared" si="32"/>
        <v>0.71004737740940616</v>
      </c>
      <c r="H146" s="430">
        <f t="shared" si="32"/>
        <v>0.72339204229415688</v>
      </c>
      <c r="I146" s="430">
        <f t="shared" si="32"/>
        <v>3.0336871504664993</v>
      </c>
      <c r="J146" s="430">
        <f>(K145+J145)*(K144-J144)/2</f>
        <v>3.2027195723400008</v>
      </c>
      <c r="K146" s="430">
        <f t="shared" si="32"/>
        <v>3.2694428967637483</v>
      </c>
      <c r="L146" s="430">
        <f t="shared" si="32"/>
        <v>3.2738911183919988</v>
      </c>
      <c r="M146" s="430">
        <f t="shared" si="32"/>
        <v>3.2516500102507484</v>
      </c>
      <c r="N146" s="430">
        <f t="shared" si="32"/>
        <v>3.2316330129236279</v>
      </c>
      <c r="O146" s="430">
        <f t="shared" si="32"/>
        <v>3.202719572339999</v>
      </c>
      <c r="P146" s="430">
        <f t="shared" si="32"/>
        <v>6.2364067228065014</v>
      </c>
      <c r="Q146" s="430">
        <f t="shared" si="32"/>
        <v>3.0314630396523707</v>
      </c>
      <c r="R146" s="430">
        <f t="shared" si="32"/>
        <v>11.289586492498502</v>
      </c>
      <c r="S146" s="430">
        <f>(T145+S145)*(T144-S144)/2</f>
        <v>2.5621756578719963</v>
      </c>
      <c r="T146" s="430">
        <f t="shared" si="32"/>
        <v>2.1662839329577519</v>
      </c>
      <c r="U146" s="430">
        <f t="shared" si="32"/>
        <v>1.2988807154489983</v>
      </c>
      <c r="V146" s="430">
        <f t="shared" si="32"/>
        <v>0.44437734066217544</v>
      </c>
      <c r="W146" s="430">
        <f>(X145+W145)*(X144-W144)/2</f>
        <v>6.894743523786741E-5</v>
      </c>
      <c r="X146" s="430">
        <f>(Y145+X145)*(Y144-X144)/2</f>
        <v>0</v>
      </c>
      <c r="Y146" s="424"/>
    </row>
    <row r="147" spans="1:26" ht="13.8" thickBot="1" x14ac:dyDescent="0.3">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6" ht="13.8" thickBot="1" x14ac:dyDescent="0.3">
      <c r="A148" s="416" t="s">
        <v>547</v>
      </c>
      <c r="B148" s="414">
        <f>ROW(A148)</f>
        <v>148</v>
      </c>
      <c r="C148" s="418" t="s">
        <v>116</v>
      </c>
      <c r="D148" s="408">
        <f>SUM(B151:Y151)</f>
        <v>55.589492</v>
      </c>
      <c r="E148" s="418" t="s">
        <v>115</v>
      </c>
      <c r="F148" s="409">
        <f>D148/g/J148</f>
        <v>177.08171508664634</v>
      </c>
      <c r="G148" s="418" t="s">
        <v>57</v>
      </c>
      <c r="H148" s="86">
        <v>0.10199999999999999</v>
      </c>
      <c r="I148" s="418" t="s">
        <v>272</v>
      </c>
      <c r="J148" s="410">
        <f>H148-L148</f>
        <v>3.1999999999999987E-2</v>
      </c>
      <c r="K148" s="418" t="s">
        <v>273</v>
      </c>
      <c r="L148" s="86">
        <v>7.0000000000000007E-2</v>
      </c>
      <c r="M148" s="418" t="s">
        <v>58</v>
      </c>
      <c r="N148" s="87">
        <v>49</v>
      </c>
      <c r="O148" s="418" t="s">
        <v>60</v>
      </c>
      <c r="P148" s="87">
        <v>49</v>
      </c>
      <c r="Q148" s="418" t="s">
        <v>61</v>
      </c>
      <c r="R148" s="87">
        <v>98</v>
      </c>
      <c r="S148" s="418" t="s">
        <v>62</v>
      </c>
      <c r="T148" s="87">
        <v>29</v>
      </c>
      <c r="U148" s="418" t="s">
        <v>55</v>
      </c>
      <c r="V148" s="88" t="s">
        <v>402</v>
      </c>
      <c r="W148" s="547" t="s">
        <v>396</v>
      </c>
      <c r="X148" s="549">
        <v>0.45</v>
      </c>
      <c r="Y148" s="547" t="s">
        <v>395</v>
      </c>
      <c r="Z148" s="413">
        <v>12</v>
      </c>
    </row>
    <row r="149" spans="1:26" x14ac:dyDescent="0.25">
      <c r="A149" s="417" t="s">
        <v>33</v>
      </c>
      <c r="B149" s="441">
        <v>0</v>
      </c>
      <c r="C149" s="442">
        <v>1E-3</v>
      </c>
      <c r="D149" s="442">
        <v>2.3E-2</v>
      </c>
      <c r="E149" s="442">
        <v>0.05</v>
      </c>
      <c r="F149" s="442">
        <v>5.8999999999999997E-2</v>
      </c>
      <c r="G149" s="442">
        <v>9.5000000000000001E-2</v>
      </c>
      <c r="H149" s="442">
        <v>0.21199999999999999</v>
      </c>
      <c r="I149" s="442">
        <v>0.34399999999999997</v>
      </c>
      <c r="J149" s="442">
        <v>1.5669999999999999</v>
      </c>
      <c r="K149" s="442">
        <v>1.631</v>
      </c>
      <c r="L149" s="442">
        <v>1.663</v>
      </c>
      <c r="M149" s="442">
        <v>1.7849999999999999</v>
      </c>
      <c r="N149" s="442">
        <v>1.8280000000000001</v>
      </c>
      <c r="O149" s="442">
        <v>2</v>
      </c>
      <c r="P149" s="442">
        <v>2</v>
      </c>
      <c r="Q149" s="442">
        <v>2</v>
      </c>
      <c r="R149" s="442">
        <v>2</v>
      </c>
      <c r="S149" s="442">
        <v>2</v>
      </c>
      <c r="T149" s="442">
        <v>2</v>
      </c>
      <c r="U149" s="442">
        <v>2</v>
      </c>
      <c r="V149" s="442">
        <v>2</v>
      </c>
      <c r="W149" s="442">
        <v>2</v>
      </c>
      <c r="X149" s="442">
        <v>2</v>
      </c>
      <c r="Y149" s="444">
        <v>1000</v>
      </c>
    </row>
    <row r="150" spans="1:26" x14ac:dyDescent="0.25">
      <c r="A150" s="434" t="s">
        <v>34</v>
      </c>
      <c r="B150" s="443">
        <v>0</v>
      </c>
      <c r="C150" s="433">
        <v>3.4830000000000001</v>
      </c>
      <c r="D150" s="433">
        <v>64.052999999999997</v>
      </c>
      <c r="E150" s="433">
        <v>31.347000000000001</v>
      </c>
      <c r="F150" s="433">
        <v>28.459</v>
      </c>
      <c r="G150" s="433">
        <v>32.027000000000001</v>
      </c>
      <c r="H150" s="433">
        <v>36.189</v>
      </c>
      <c r="I150" s="433">
        <v>37.548999999999999</v>
      </c>
      <c r="J150" s="433">
        <v>26.164999999999999</v>
      </c>
      <c r="K150" s="433">
        <v>26.93</v>
      </c>
      <c r="L150" s="433">
        <v>25.315999999999999</v>
      </c>
      <c r="M150" s="433">
        <v>3.653</v>
      </c>
      <c r="N150" s="433">
        <v>0</v>
      </c>
      <c r="O150" s="433">
        <v>0</v>
      </c>
      <c r="P150" s="433">
        <v>0</v>
      </c>
      <c r="Q150" s="433">
        <v>0</v>
      </c>
      <c r="R150" s="433">
        <v>0</v>
      </c>
      <c r="S150" s="433">
        <v>0</v>
      </c>
      <c r="T150" s="433">
        <v>0</v>
      </c>
      <c r="U150" s="433">
        <v>0</v>
      </c>
      <c r="V150" s="433">
        <v>0</v>
      </c>
      <c r="W150" s="433">
        <v>0</v>
      </c>
      <c r="X150" s="433">
        <v>0</v>
      </c>
      <c r="Y150" s="439">
        <v>0</v>
      </c>
    </row>
    <row r="151" spans="1:26" ht="13.8" thickBot="1" x14ac:dyDescent="0.3">
      <c r="A151" s="435" t="s">
        <v>117</v>
      </c>
      <c r="B151" s="429">
        <f t="shared" ref="B151" si="33">(C150+B150)*(C149-B149)/2</f>
        <v>1.7415E-3</v>
      </c>
      <c r="C151" s="430">
        <f t="shared" ref="C151" si="34">(D150+C150)*(D149-C149)/2</f>
        <v>0.742896</v>
      </c>
      <c r="D151" s="430">
        <f t="shared" ref="D151" si="35">(E150+D150)*(E149-D149)/2</f>
        <v>1.2879000000000003</v>
      </c>
      <c r="E151" s="430">
        <f t="shared" ref="E151" si="36">(F150+E150)*(F149-E149)/2</f>
        <v>0.26912699999999984</v>
      </c>
      <c r="F151" s="430">
        <f t="shared" ref="F151" si="37">(G150+F150)*(G149-F149)/2</f>
        <v>1.0887480000000003</v>
      </c>
      <c r="G151" s="430">
        <f t="shared" ref="G151" si="38">(H150+G150)*(H149-G149)/2</f>
        <v>3.9906360000000003</v>
      </c>
      <c r="H151" s="430">
        <f t="shared" ref="H151" si="39">(I150+H150)*(I149-H149)/2</f>
        <v>4.8667079999999991</v>
      </c>
      <c r="I151" s="430">
        <f t="shared" ref="I151" si="40">(J150+I150)*(J149-I149)/2</f>
        <v>38.961110999999995</v>
      </c>
      <c r="J151" s="430">
        <f t="shared" ref="J151" si="41">(K150+J150)*(K149-J149)/2</f>
        <v>1.6990400000000014</v>
      </c>
      <c r="K151" s="430">
        <f t="shared" ref="K151" si="42">(L150+K150)*(L149-K149)/2</f>
        <v>0.83593600000000068</v>
      </c>
      <c r="L151" s="430">
        <f t="shared" ref="L151" si="43">(M150+L150)*(M149-L149)/2</f>
        <v>1.7671089999999983</v>
      </c>
      <c r="M151" s="430">
        <f t="shared" ref="M151" si="44">(N150+M150)*(N149-M149)/2</f>
        <v>7.8539500000000276E-2</v>
      </c>
      <c r="N151" s="430">
        <f t="shared" ref="N151" si="45">(O150+N150)*(O149-N149)/2</f>
        <v>0</v>
      </c>
      <c r="O151" s="430">
        <f t="shared" ref="O151" si="46">(P150+O150)*(P149-O149)/2</f>
        <v>0</v>
      </c>
      <c r="P151" s="430">
        <f t="shared" ref="P151" si="47">(Q150+P150)*(Q149-P149)/2</f>
        <v>0</v>
      </c>
      <c r="Q151" s="430">
        <f t="shared" ref="Q151" si="48">(R150+Q150)*(R149-Q149)/2</f>
        <v>0</v>
      </c>
      <c r="R151" s="430">
        <f t="shared" ref="R151" si="49">(S150+R150)*(S149-R149)/2</f>
        <v>0</v>
      </c>
      <c r="S151" s="430">
        <f t="shared" ref="S151" si="50">(T150+S150)*(T149-S149)/2</f>
        <v>0</v>
      </c>
      <c r="T151" s="430">
        <f t="shared" ref="T151" si="51">(U150+T150)*(U149-T149)/2</f>
        <v>0</v>
      </c>
      <c r="U151" s="430">
        <f t="shared" ref="U151" si="52">(V150+U150)*(V149-U149)/2</f>
        <v>0</v>
      </c>
      <c r="V151" s="430">
        <f t="shared" ref="V151" si="53">(W150+V150)*(W149-V149)/2</f>
        <v>0</v>
      </c>
      <c r="W151" s="430">
        <f t="shared" ref="W151" si="54">(X150+W150)*(X149-W149)/2</f>
        <v>0</v>
      </c>
      <c r="X151" s="430">
        <f t="shared" ref="X151" si="55">(Y150+X150)*(Y149-X149)/2</f>
        <v>0</v>
      </c>
      <c r="Y151" s="424"/>
    </row>
    <row r="152" spans="1:26" ht="13.8" thickBot="1" x14ac:dyDescent="0.3">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6" ht="13.8" thickBot="1" x14ac:dyDescent="0.3">
      <c r="A153" s="416" t="s">
        <v>386</v>
      </c>
      <c r="B153" s="414">
        <f>ROW(A153)</f>
        <v>153</v>
      </c>
      <c r="C153" s="418" t="s">
        <v>116</v>
      </c>
      <c r="D153" s="408">
        <f>SUM(B156:Y156)</f>
        <v>55.705884500000003</v>
      </c>
      <c r="E153" s="418" t="s">
        <v>115</v>
      </c>
      <c r="F153" s="409">
        <f>D153/g/J153</f>
        <v>180.84329814241278</v>
      </c>
      <c r="G153" s="418" t="s">
        <v>57</v>
      </c>
      <c r="H153" s="86">
        <v>0.1062</v>
      </c>
      <c r="I153" s="418" t="s">
        <v>272</v>
      </c>
      <c r="J153" s="410">
        <f>H153-L153</f>
        <v>3.1400000000000011E-2</v>
      </c>
      <c r="K153" s="418" t="s">
        <v>273</v>
      </c>
      <c r="L153" s="86">
        <v>7.4799999999999991E-2</v>
      </c>
      <c r="M153" s="418" t="s">
        <v>58</v>
      </c>
      <c r="N153" s="87">
        <v>49</v>
      </c>
      <c r="O153" s="418" t="s">
        <v>60</v>
      </c>
      <c r="P153" s="87">
        <v>49</v>
      </c>
      <c r="Q153" s="418" t="s">
        <v>61</v>
      </c>
      <c r="R153" s="87">
        <v>98</v>
      </c>
      <c r="S153" s="418" t="s">
        <v>62</v>
      </c>
      <c r="T153" s="87">
        <v>29</v>
      </c>
      <c r="U153" s="418" t="s">
        <v>55</v>
      </c>
      <c r="V153" s="88" t="s">
        <v>402</v>
      </c>
      <c r="W153" s="547" t="s">
        <v>396</v>
      </c>
      <c r="X153" s="549">
        <v>0.45</v>
      </c>
      <c r="Y153" s="547" t="s">
        <v>395</v>
      </c>
      <c r="Z153" s="413">
        <v>14</v>
      </c>
    </row>
    <row r="154" spans="1:26" x14ac:dyDescent="0.25">
      <c r="A154" s="417" t="s">
        <v>33</v>
      </c>
      <c r="B154" s="441">
        <v>0</v>
      </c>
      <c r="C154" s="442">
        <v>1.2999999999999999E-2</v>
      </c>
      <c r="D154" s="442">
        <v>1.7000000000000001E-2</v>
      </c>
      <c r="E154" s="442">
        <v>0.04</v>
      </c>
      <c r="F154" s="442">
        <v>0.125</v>
      </c>
      <c r="G154" s="442">
        <v>0.17899999999999999</v>
      </c>
      <c r="H154" s="442">
        <v>0.222</v>
      </c>
      <c r="I154" s="442">
        <v>0.28899999999999998</v>
      </c>
      <c r="J154" s="442">
        <v>0.35399999999999998</v>
      </c>
      <c r="K154" s="442">
        <v>0.39400000000000002</v>
      </c>
      <c r="L154" s="442">
        <v>0.40600000000000003</v>
      </c>
      <c r="M154" s="442">
        <v>0.41599999999999998</v>
      </c>
      <c r="N154" s="442">
        <v>0.42299999999999999</v>
      </c>
      <c r="O154" s="442">
        <v>0.43099999999999999</v>
      </c>
      <c r="P154" s="442">
        <v>0.44700000000000001</v>
      </c>
      <c r="Q154" s="442">
        <v>0.45300000000000001</v>
      </c>
      <c r="R154" s="442">
        <v>0.45500000000000002</v>
      </c>
      <c r="S154" s="442">
        <v>0.45500000000000002</v>
      </c>
      <c r="T154" s="442">
        <v>0.45500000000000002</v>
      </c>
      <c r="U154" s="442">
        <v>0.45500000000000002</v>
      </c>
      <c r="V154" s="442">
        <v>0.45500000000000002</v>
      </c>
      <c r="W154" s="442">
        <v>0.45500000000000002</v>
      </c>
      <c r="X154" s="442">
        <v>2</v>
      </c>
      <c r="Y154" s="444">
        <v>1000</v>
      </c>
    </row>
    <row r="155" spans="1:26" x14ac:dyDescent="0.25">
      <c r="A155" s="434" t="s">
        <v>34</v>
      </c>
      <c r="B155" s="443">
        <v>0</v>
      </c>
      <c r="C155" s="433">
        <v>79.242000000000004</v>
      </c>
      <c r="D155" s="433">
        <v>90.427000000000007</v>
      </c>
      <c r="E155" s="433">
        <v>101.422</v>
      </c>
      <c r="F155" s="433">
        <v>127.583</v>
      </c>
      <c r="G155" s="433">
        <v>136.114</v>
      </c>
      <c r="H155" s="433">
        <v>139.905</v>
      </c>
      <c r="I155" s="433">
        <v>143.50700000000001</v>
      </c>
      <c r="J155" s="433">
        <v>138.578</v>
      </c>
      <c r="K155" s="433">
        <v>125.498</v>
      </c>
      <c r="L155" s="433">
        <v>123.602</v>
      </c>
      <c r="M155" s="433">
        <v>125.11799999999999</v>
      </c>
      <c r="N155" s="433">
        <v>130.047</v>
      </c>
      <c r="O155" s="433">
        <v>120.569</v>
      </c>
      <c r="P155" s="433">
        <v>25.591999999999999</v>
      </c>
      <c r="Q155" s="433">
        <v>8.7200000000000006</v>
      </c>
      <c r="R155" s="433">
        <v>0</v>
      </c>
      <c r="S155" s="433">
        <v>0</v>
      </c>
      <c r="T155" s="433">
        <v>0</v>
      </c>
      <c r="U155" s="433">
        <v>0</v>
      </c>
      <c r="V155" s="433">
        <v>0</v>
      </c>
      <c r="W155" s="433">
        <v>0</v>
      </c>
      <c r="X155" s="433">
        <v>0</v>
      </c>
      <c r="Y155" s="439">
        <v>0</v>
      </c>
    </row>
    <row r="156" spans="1:26" ht="13.8" thickBot="1" x14ac:dyDescent="0.3">
      <c r="A156" s="435" t="s">
        <v>117</v>
      </c>
      <c r="B156" s="429">
        <f t="shared" ref="B156:X156" si="56">(C155+B155)*(C154-B154)/2</f>
        <v>0.515073</v>
      </c>
      <c r="C156" s="430">
        <f t="shared" si="56"/>
        <v>0.3393380000000002</v>
      </c>
      <c r="D156" s="430">
        <f t="shared" si="56"/>
        <v>2.2062634999999999</v>
      </c>
      <c r="E156" s="430">
        <f t="shared" si="56"/>
        <v>9.7327124999999981</v>
      </c>
      <c r="F156" s="430">
        <f t="shared" si="56"/>
        <v>7.1198189999999988</v>
      </c>
      <c r="G156" s="430">
        <f t="shared" si="56"/>
        <v>5.9344085000000018</v>
      </c>
      <c r="H156" s="430">
        <f t="shared" si="56"/>
        <v>9.4943019999999976</v>
      </c>
      <c r="I156" s="430">
        <f t="shared" si="56"/>
        <v>9.167762500000002</v>
      </c>
      <c r="J156" s="430">
        <f t="shared" si="56"/>
        <v>5.2815200000000049</v>
      </c>
      <c r="K156" s="430">
        <f t="shared" si="56"/>
        <v>1.4946000000000015</v>
      </c>
      <c r="L156" s="430">
        <f t="shared" si="56"/>
        <v>1.2435999999999943</v>
      </c>
      <c r="M156" s="430">
        <f t="shared" si="56"/>
        <v>0.89307750000000075</v>
      </c>
      <c r="N156" s="430">
        <f t="shared" si="56"/>
        <v>1.0024640000000009</v>
      </c>
      <c r="O156" s="430">
        <f t="shared" si="56"/>
        <v>1.169288000000001</v>
      </c>
      <c r="P156" s="430">
        <f t="shared" si="56"/>
        <v>0.10293600000000008</v>
      </c>
      <c r="Q156" s="430">
        <f t="shared" si="56"/>
        <v>8.720000000000009E-3</v>
      </c>
      <c r="R156" s="430">
        <f t="shared" si="56"/>
        <v>0</v>
      </c>
      <c r="S156" s="430">
        <f t="shared" si="56"/>
        <v>0</v>
      </c>
      <c r="T156" s="430">
        <f t="shared" si="56"/>
        <v>0</v>
      </c>
      <c r="U156" s="430">
        <f t="shared" si="56"/>
        <v>0</v>
      </c>
      <c r="V156" s="430">
        <f t="shared" si="56"/>
        <v>0</v>
      </c>
      <c r="W156" s="430">
        <f t="shared" si="56"/>
        <v>0</v>
      </c>
      <c r="X156" s="430">
        <f t="shared" si="56"/>
        <v>0</v>
      </c>
      <c r="Y156" s="424"/>
    </row>
    <row r="157" spans="1:26" ht="13.8" thickBot="1" x14ac:dyDescent="0.3">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6" ht="13.8" thickBot="1" x14ac:dyDescent="0.3">
      <c r="A158" s="416" t="s">
        <v>387</v>
      </c>
      <c r="B158" s="414">
        <f>ROW(A158)</f>
        <v>158</v>
      </c>
      <c r="C158" s="418" t="s">
        <v>116</v>
      </c>
      <c r="D158" s="408">
        <f>SUM(B161:Y161)</f>
        <v>57.190000000000005</v>
      </c>
      <c r="E158" s="418" t="s">
        <v>115</v>
      </c>
      <c r="F158" s="409">
        <f>D158/g/J158</f>
        <v>188.05695307618953</v>
      </c>
      <c r="G158" s="418" t="s">
        <v>57</v>
      </c>
      <c r="H158" s="86">
        <v>9.9000000000000005E-2</v>
      </c>
      <c r="I158" s="418" t="s">
        <v>272</v>
      </c>
      <c r="J158" s="410">
        <f>H158-L158</f>
        <v>3.1E-2</v>
      </c>
      <c r="K158" s="418" t="s">
        <v>273</v>
      </c>
      <c r="L158" s="86">
        <v>6.8000000000000005E-2</v>
      </c>
      <c r="M158" s="418" t="s">
        <v>58</v>
      </c>
      <c r="N158" s="87">
        <v>49</v>
      </c>
      <c r="O158" s="418" t="s">
        <v>60</v>
      </c>
      <c r="P158" s="87">
        <v>49</v>
      </c>
      <c r="Q158" s="418" t="s">
        <v>61</v>
      </c>
      <c r="R158" s="87">
        <v>98</v>
      </c>
      <c r="S158" s="418" t="s">
        <v>62</v>
      </c>
      <c r="T158" s="87">
        <v>29</v>
      </c>
      <c r="U158" s="418" t="s">
        <v>55</v>
      </c>
      <c r="V158" s="88" t="s">
        <v>402</v>
      </c>
      <c r="W158" s="547" t="s">
        <v>396</v>
      </c>
      <c r="X158" s="549">
        <v>0.96</v>
      </c>
      <c r="Y158" s="547" t="s">
        <v>395</v>
      </c>
      <c r="Z158" s="413">
        <v>12</v>
      </c>
    </row>
    <row r="159" spans="1:26" x14ac:dyDescent="0.25">
      <c r="A159" s="417" t="s">
        <v>33</v>
      </c>
      <c r="B159" s="441">
        <v>0</v>
      </c>
      <c r="C159" s="442">
        <v>0.01</v>
      </c>
      <c r="D159" s="442">
        <v>0.02</v>
      </c>
      <c r="E159" s="442">
        <v>0.03</v>
      </c>
      <c r="F159" s="442">
        <v>0.04</v>
      </c>
      <c r="G159" s="442">
        <v>7.0000000000000007E-2</v>
      </c>
      <c r="H159" s="442">
        <v>0.1</v>
      </c>
      <c r="I159" s="442">
        <v>0.2</v>
      </c>
      <c r="J159" s="442">
        <v>0.3</v>
      </c>
      <c r="K159" s="442">
        <v>0.4</v>
      </c>
      <c r="L159" s="442">
        <v>0.5</v>
      </c>
      <c r="M159" s="442">
        <v>0.6</v>
      </c>
      <c r="N159" s="442">
        <v>0.7</v>
      </c>
      <c r="O159" s="442">
        <v>0.87</v>
      </c>
      <c r="P159" s="442">
        <v>0.9</v>
      </c>
      <c r="Q159" s="442">
        <v>0.97</v>
      </c>
      <c r="R159" s="442">
        <v>0.97</v>
      </c>
      <c r="S159" s="442">
        <v>0.97</v>
      </c>
      <c r="T159" s="442">
        <v>0.97</v>
      </c>
      <c r="U159" s="442">
        <v>0.97</v>
      </c>
      <c r="V159" s="442">
        <v>0.97</v>
      </c>
      <c r="W159" s="442">
        <v>0.97</v>
      </c>
      <c r="X159" s="442">
        <v>2</v>
      </c>
      <c r="Y159" s="444">
        <v>1000</v>
      </c>
    </row>
    <row r="160" spans="1:26" x14ac:dyDescent="0.25">
      <c r="A160" s="434" t="s">
        <v>34</v>
      </c>
      <c r="B160" s="443">
        <v>0</v>
      </c>
      <c r="C160" s="433">
        <v>16</v>
      </c>
      <c r="D160" s="433">
        <v>62</v>
      </c>
      <c r="E160" s="433">
        <v>67</v>
      </c>
      <c r="F160" s="433">
        <v>71</v>
      </c>
      <c r="G160" s="433">
        <v>58</v>
      </c>
      <c r="H160" s="433">
        <v>63</v>
      </c>
      <c r="I160" s="433">
        <v>67</v>
      </c>
      <c r="J160" s="433">
        <v>69</v>
      </c>
      <c r="K160" s="433">
        <v>67</v>
      </c>
      <c r="L160" s="433">
        <v>65</v>
      </c>
      <c r="M160" s="433">
        <v>63</v>
      </c>
      <c r="N160" s="433">
        <v>61</v>
      </c>
      <c r="O160" s="433">
        <v>60</v>
      </c>
      <c r="P160" s="433">
        <v>23</v>
      </c>
      <c r="Q160" s="433">
        <v>0</v>
      </c>
      <c r="R160" s="433">
        <v>0</v>
      </c>
      <c r="S160" s="433">
        <v>0</v>
      </c>
      <c r="T160" s="433">
        <v>0</v>
      </c>
      <c r="U160" s="433">
        <v>0</v>
      </c>
      <c r="V160" s="433">
        <v>0</v>
      </c>
      <c r="W160" s="433">
        <v>0</v>
      </c>
      <c r="X160" s="433">
        <v>0</v>
      </c>
      <c r="Y160" s="439">
        <v>0</v>
      </c>
    </row>
    <row r="161" spans="1:26" ht="13.8" thickBot="1" x14ac:dyDescent="0.3">
      <c r="A161" s="435" t="s">
        <v>117</v>
      </c>
      <c r="B161" s="429">
        <f t="shared" ref="B161:X161" si="57">(C160+B160)*(C159-B159)/2</f>
        <v>0.08</v>
      </c>
      <c r="C161" s="430">
        <f t="shared" si="57"/>
        <v>0.39</v>
      </c>
      <c r="D161" s="430">
        <f t="shared" si="57"/>
        <v>0.64499999999999991</v>
      </c>
      <c r="E161" s="430">
        <f t="shared" si="57"/>
        <v>0.69000000000000017</v>
      </c>
      <c r="F161" s="430">
        <f t="shared" si="57"/>
        <v>1.9350000000000003</v>
      </c>
      <c r="G161" s="430">
        <f t="shared" si="57"/>
        <v>1.8149999999999999</v>
      </c>
      <c r="H161" s="430">
        <f t="shared" si="57"/>
        <v>6.5</v>
      </c>
      <c r="I161" s="430">
        <f t="shared" si="57"/>
        <v>6.7999999999999989</v>
      </c>
      <c r="J161" s="430">
        <f t="shared" si="57"/>
        <v>6.8000000000000025</v>
      </c>
      <c r="K161" s="430">
        <f t="shared" si="57"/>
        <v>6.5999999999999988</v>
      </c>
      <c r="L161" s="430">
        <f t="shared" si="57"/>
        <v>6.3999999999999986</v>
      </c>
      <c r="M161" s="430">
        <f t="shared" si="57"/>
        <v>6.1999999999999984</v>
      </c>
      <c r="N161" s="430">
        <f t="shared" si="57"/>
        <v>10.285000000000002</v>
      </c>
      <c r="O161" s="430">
        <f t="shared" si="57"/>
        <v>1.245000000000001</v>
      </c>
      <c r="P161" s="430">
        <f t="shared" si="57"/>
        <v>0.80499999999999949</v>
      </c>
      <c r="Q161" s="430">
        <f t="shared" si="57"/>
        <v>0</v>
      </c>
      <c r="R161" s="430">
        <f t="shared" si="57"/>
        <v>0</v>
      </c>
      <c r="S161" s="430">
        <f t="shared" si="57"/>
        <v>0</v>
      </c>
      <c r="T161" s="430">
        <f t="shared" si="57"/>
        <v>0</v>
      </c>
      <c r="U161" s="430">
        <f t="shared" si="57"/>
        <v>0</v>
      </c>
      <c r="V161" s="430">
        <f t="shared" si="57"/>
        <v>0</v>
      </c>
      <c r="W161" s="430">
        <f t="shared" si="57"/>
        <v>0</v>
      </c>
      <c r="X161" s="430">
        <f t="shared" si="57"/>
        <v>0</v>
      </c>
      <c r="Y161" s="424"/>
    </row>
    <row r="162" spans="1:26" ht="13.8" thickBot="1" x14ac:dyDescent="0.3">
      <c r="A162" s="492" t="s">
        <v>316</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6" ht="13.8" thickBot="1" x14ac:dyDescent="0.3">
      <c r="A163" s="416" t="s">
        <v>323</v>
      </c>
      <c r="B163" s="414">
        <f>ROW(A163)</f>
        <v>163</v>
      </c>
      <c r="C163" s="418" t="s">
        <v>116</v>
      </c>
      <c r="D163" s="408">
        <f>SUM(B166:Y166)</f>
        <v>59.702267000000006</v>
      </c>
      <c r="E163" s="418" t="s">
        <v>115</v>
      </c>
      <c r="F163" s="409">
        <f>D163/g/J163</f>
        <v>190.77924771281306</v>
      </c>
      <c r="G163" s="418" t="s">
        <v>57</v>
      </c>
      <c r="H163" s="86">
        <v>9.3899999999999997E-2</v>
      </c>
      <c r="I163" s="418" t="s">
        <v>272</v>
      </c>
      <c r="J163" s="410">
        <f>H163-L163</f>
        <v>3.1899999999999998E-2</v>
      </c>
      <c r="K163" s="418" t="s">
        <v>273</v>
      </c>
      <c r="L163" s="86">
        <f>0.095-0.033</f>
        <v>6.2E-2</v>
      </c>
      <c r="M163" s="418" t="s">
        <v>58</v>
      </c>
      <c r="N163" s="457">
        <v>66.5</v>
      </c>
      <c r="O163" s="418" t="s">
        <v>60</v>
      </c>
      <c r="P163" s="457">
        <v>66.5</v>
      </c>
      <c r="Q163" s="418" t="s">
        <v>61</v>
      </c>
      <c r="R163" s="87">
        <v>133</v>
      </c>
      <c r="S163" s="418" t="s">
        <v>62</v>
      </c>
      <c r="T163" s="87">
        <v>24</v>
      </c>
      <c r="U163" s="418" t="s">
        <v>55</v>
      </c>
      <c r="V163" s="88" t="s">
        <v>401</v>
      </c>
      <c r="W163" s="547" t="s">
        <v>396</v>
      </c>
      <c r="X163" s="549">
        <v>1.2</v>
      </c>
      <c r="Y163" s="547" t="s">
        <v>395</v>
      </c>
      <c r="Z163" s="413">
        <v>13</v>
      </c>
    </row>
    <row r="164" spans="1:26" x14ac:dyDescent="0.25">
      <c r="A164" s="417" t="s">
        <v>33</v>
      </c>
      <c r="B164" s="425">
        <v>0</v>
      </c>
      <c r="C164" s="426">
        <v>1.4999999999999999E-2</v>
      </c>
      <c r="D164" s="426">
        <v>2.1999999999999999E-2</v>
      </c>
      <c r="E164" s="426">
        <v>6.4000000000000001E-2</v>
      </c>
      <c r="F164" s="426">
        <v>0.11799999999999999</v>
      </c>
      <c r="G164" s="426">
        <v>0.34200000000000003</v>
      </c>
      <c r="H164" s="426">
        <v>0.53600000000000003</v>
      </c>
      <c r="I164" s="426">
        <v>0.74299999999999999</v>
      </c>
      <c r="J164" s="426">
        <v>0.88400000000000001</v>
      </c>
      <c r="K164" s="426">
        <v>0.97599999999999998</v>
      </c>
      <c r="L164" s="426">
        <v>1.0960000000000001</v>
      </c>
      <c r="M164" s="426">
        <v>1.246</v>
      </c>
      <c r="N164" s="426">
        <v>1.298</v>
      </c>
      <c r="O164" s="442">
        <v>2</v>
      </c>
      <c r="P164" s="442">
        <v>2</v>
      </c>
      <c r="Q164" s="442">
        <v>2</v>
      </c>
      <c r="R164" s="442">
        <v>2</v>
      </c>
      <c r="S164" s="442">
        <v>2</v>
      </c>
      <c r="T164" s="442">
        <v>2</v>
      </c>
      <c r="U164" s="442">
        <v>2</v>
      </c>
      <c r="V164" s="442">
        <v>2</v>
      </c>
      <c r="W164" s="442">
        <v>2</v>
      </c>
      <c r="X164" s="442">
        <f t="shared" ref="T164:X165" si="58">W164</f>
        <v>2</v>
      </c>
      <c r="Y164" s="444">
        <v>1000</v>
      </c>
    </row>
    <row r="165" spans="1:26" x14ac:dyDescent="0.25">
      <c r="A165" s="434" t="s">
        <v>34</v>
      </c>
      <c r="B165" s="427">
        <v>0</v>
      </c>
      <c r="C165" s="428">
        <v>64.981999999999999</v>
      </c>
      <c r="D165" s="428">
        <v>69.516000000000005</v>
      </c>
      <c r="E165" s="428">
        <v>55.536999999999999</v>
      </c>
      <c r="F165" s="428">
        <v>62.81</v>
      </c>
      <c r="G165" s="428">
        <v>62.149000000000001</v>
      </c>
      <c r="H165" s="428">
        <v>59.41</v>
      </c>
      <c r="I165" s="428">
        <v>53.837000000000003</v>
      </c>
      <c r="J165" s="428">
        <v>46.942</v>
      </c>
      <c r="K165" s="428">
        <v>40.046999999999997</v>
      </c>
      <c r="L165" s="428">
        <v>12.561999999999999</v>
      </c>
      <c r="M165" s="428">
        <v>2.0779999999999998</v>
      </c>
      <c r="N165" s="428">
        <v>0</v>
      </c>
      <c r="O165" s="433">
        <v>0</v>
      </c>
      <c r="P165" s="433">
        <v>0</v>
      </c>
      <c r="Q165" s="433">
        <v>0</v>
      </c>
      <c r="R165" s="433">
        <v>0</v>
      </c>
      <c r="S165" s="433">
        <v>0</v>
      </c>
      <c r="T165" s="433">
        <f t="shared" si="58"/>
        <v>0</v>
      </c>
      <c r="U165" s="433">
        <f t="shared" si="58"/>
        <v>0</v>
      </c>
      <c r="V165" s="433">
        <f t="shared" si="58"/>
        <v>0</v>
      </c>
      <c r="W165" s="433">
        <f t="shared" si="58"/>
        <v>0</v>
      </c>
      <c r="X165" s="433">
        <f t="shared" si="58"/>
        <v>0</v>
      </c>
      <c r="Y165" s="439">
        <v>0</v>
      </c>
    </row>
    <row r="166" spans="1:26" ht="13.8" thickBot="1" x14ac:dyDescent="0.3">
      <c r="A166" s="435" t="s">
        <v>117</v>
      </c>
      <c r="B166" s="429">
        <f t="shared" ref="B166:V166" si="59">(C165+B165)*(C164-B164)/2</f>
        <v>0.48736499999999999</v>
      </c>
      <c r="C166" s="430">
        <f t="shared" si="59"/>
        <v>0.47074299999999991</v>
      </c>
      <c r="D166" s="430">
        <f t="shared" si="59"/>
        <v>2.6261130000000001</v>
      </c>
      <c r="E166" s="430">
        <f t="shared" si="59"/>
        <v>3.1953689999999999</v>
      </c>
      <c r="F166" s="430">
        <f t="shared" si="59"/>
        <v>13.995408000000003</v>
      </c>
      <c r="G166" s="430">
        <f t="shared" si="59"/>
        <v>11.791223</v>
      </c>
      <c r="H166" s="430">
        <f t="shared" si="59"/>
        <v>11.721064499999997</v>
      </c>
      <c r="I166" s="430">
        <f t="shared" si="59"/>
        <v>7.1049195000000003</v>
      </c>
      <c r="J166" s="430">
        <f>(K165+J165)*(K164-J164)/2</f>
        <v>4.0014939999999992</v>
      </c>
      <c r="K166" s="430">
        <f t="shared" si="59"/>
        <v>3.1565400000000023</v>
      </c>
      <c r="L166" s="430">
        <f t="shared" si="59"/>
        <v>1.0979999999999992</v>
      </c>
      <c r="M166" s="430">
        <f t="shared" si="59"/>
        <v>5.4028000000000041E-2</v>
      </c>
      <c r="N166" s="430">
        <f t="shared" si="59"/>
        <v>0</v>
      </c>
      <c r="O166" s="430">
        <f t="shared" si="59"/>
        <v>0</v>
      </c>
      <c r="P166" s="430">
        <f t="shared" si="59"/>
        <v>0</v>
      </c>
      <c r="Q166" s="430">
        <f t="shared" si="59"/>
        <v>0</v>
      </c>
      <c r="R166" s="430">
        <f t="shared" si="59"/>
        <v>0</v>
      </c>
      <c r="S166" s="430">
        <f>(T165+S165)*(T164-S164)/2</f>
        <v>0</v>
      </c>
      <c r="T166" s="430">
        <f t="shared" si="59"/>
        <v>0</v>
      </c>
      <c r="U166" s="430">
        <f t="shared" si="59"/>
        <v>0</v>
      </c>
      <c r="V166" s="430">
        <f t="shared" si="59"/>
        <v>0</v>
      </c>
      <c r="W166" s="430">
        <f>(X165+W165)*(X164-W164)/2</f>
        <v>0</v>
      </c>
      <c r="X166" s="430">
        <f>(Y165+X165)*(Y164-X164)/2</f>
        <v>0</v>
      </c>
      <c r="Y166" s="424"/>
    </row>
    <row r="167" spans="1:26" ht="13.8" thickBot="1" x14ac:dyDescent="0.3"/>
    <row r="168" spans="1:26" ht="13.8" thickBot="1" x14ac:dyDescent="0.3">
      <c r="A168" s="416" t="s">
        <v>324</v>
      </c>
      <c r="B168" s="414">
        <f>ROW(A168)</f>
        <v>168</v>
      </c>
      <c r="C168" s="418" t="s">
        <v>116</v>
      </c>
      <c r="D168" s="408">
        <f>SUM(B171:Y171)</f>
        <v>68.380602999999994</v>
      </c>
      <c r="E168" s="418" t="s">
        <v>115</v>
      </c>
      <c r="F168" s="409">
        <f>D168/g/J168</f>
        <v>134.04807300243078</v>
      </c>
      <c r="G168" s="418" t="s">
        <v>57</v>
      </c>
      <c r="H168" s="86">
        <v>0.1075</v>
      </c>
      <c r="I168" s="418" t="s">
        <v>272</v>
      </c>
      <c r="J168" s="410">
        <f>H168-L168</f>
        <v>5.1999999999999998E-2</v>
      </c>
      <c r="K168" s="418" t="s">
        <v>273</v>
      </c>
      <c r="L168" s="86">
        <v>5.5500000000000001E-2</v>
      </c>
      <c r="M168" s="418" t="s">
        <v>58</v>
      </c>
      <c r="N168" s="457">
        <v>66.5</v>
      </c>
      <c r="O168" s="418" t="s">
        <v>60</v>
      </c>
      <c r="P168" s="457">
        <v>66.5</v>
      </c>
      <c r="Q168" s="418" t="s">
        <v>61</v>
      </c>
      <c r="R168" s="87">
        <v>133</v>
      </c>
      <c r="S168" s="418" t="s">
        <v>62</v>
      </c>
      <c r="T168" s="87">
        <v>24</v>
      </c>
      <c r="U168" s="418" t="s">
        <v>55</v>
      </c>
      <c r="V168" s="88" t="s">
        <v>401</v>
      </c>
      <c r="W168" s="547" t="s">
        <v>396</v>
      </c>
      <c r="X168" s="549">
        <v>0.86</v>
      </c>
      <c r="Y168" s="547" t="s">
        <v>395</v>
      </c>
      <c r="Z168" s="413">
        <v>13</v>
      </c>
    </row>
    <row r="169" spans="1:26" x14ac:dyDescent="0.25">
      <c r="A169" s="417" t="s">
        <v>33</v>
      </c>
      <c r="B169" s="441">
        <v>0</v>
      </c>
      <c r="C169" s="442">
        <v>5.0000000000000001E-3</v>
      </c>
      <c r="D169" s="442">
        <v>1.2999999999999999E-2</v>
      </c>
      <c r="E169" s="442">
        <v>2.1999999999999999E-2</v>
      </c>
      <c r="F169" s="442">
        <v>4.2999999999999997E-2</v>
      </c>
      <c r="G169" s="442">
        <v>0.11899999999999999</v>
      </c>
      <c r="H169" s="442">
        <v>0.19800000000000001</v>
      </c>
      <c r="I169" s="442">
        <v>0.26700000000000002</v>
      </c>
      <c r="J169" s="442">
        <v>0.34300000000000003</v>
      </c>
      <c r="K169" s="442">
        <v>0.40400000000000003</v>
      </c>
      <c r="L169" s="442">
        <v>0.498</v>
      </c>
      <c r="M169" s="442">
        <v>0.55500000000000005</v>
      </c>
      <c r="N169" s="442">
        <v>0.622</v>
      </c>
      <c r="O169" s="442">
        <v>0.66300000000000003</v>
      </c>
      <c r="P169" s="442">
        <v>0.70399999999999996</v>
      </c>
      <c r="Q169" s="442">
        <v>0.72899999999999998</v>
      </c>
      <c r="R169" s="442">
        <v>0.747</v>
      </c>
      <c r="S169" s="442">
        <v>0.76800000000000002</v>
      </c>
      <c r="T169" s="442">
        <v>0.82099999999999995</v>
      </c>
      <c r="U169" s="442">
        <v>0.85199999999999998</v>
      </c>
      <c r="V169" s="442">
        <v>0.89200000000000002</v>
      </c>
      <c r="W169" s="442">
        <v>1</v>
      </c>
      <c r="X169" s="442">
        <v>2</v>
      </c>
      <c r="Y169" s="444">
        <v>1000</v>
      </c>
    </row>
    <row r="170" spans="1:26" x14ac:dyDescent="0.25">
      <c r="A170" s="434" t="s">
        <v>34</v>
      </c>
      <c r="B170" s="443">
        <v>0</v>
      </c>
      <c r="C170" s="433">
        <v>60</v>
      </c>
      <c r="D170" s="433">
        <v>89.007000000000005</v>
      </c>
      <c r="E170" s="433">
        <v>96.290999999999997</v>
      </c>
      <c r="F170" s="433">
        <v>81.721999999999994</v>
      </c>
      <c r="G170" s="433">
        <v>85.563000000000002</v>
      </c>
      <c r="H170" s="433">
        <v>87.947000000000003</v>
      </c>
      <c r="I170" s="433">
        <v>89.272000000000006</v>
      </c>
      <c r="J170" s="433">
        <v>89.933999999999997</v>
      </c>
      <c r="K170" s="433">
        <v>90.861000000000004</v>
      </c>
      <c r="L170" s="433">
        <v>91.522999999999996</v>
      </c>
      <c r="M170" s="433">
        <v>89.668999999999997</v>
      </c>
      <c r="N170" s="433">
        <v>83.974000000000004</v>
      </c>
      <c r="O170" s="433">
        <v>80.53</v>
      </c>
      <c r="P170" s="433">
        <v>78.94</v>
      </c>
      <c r="Q170" s="433">
        <v>74.171999999999997</v>
      </c>
      <c r="R170" s="433">
        <v>66.887</v>
      </c>
      <c r="S170" s="433">
        <v>53.774999999999999</v>
      </c>
      <c r="T170" s="433">
        <v>18.542999999999999</v>
      </c>
      <c r="U170" s="433">
        <v>7.8150000000000004</v>
      </c>
      <c r="V170" s="433">
        <v>2.1190000000000002</v>
      </c>
      <c r="W170" s="433">
        <v>0</v>
      </c>
      <c r="X170" s="433">
        <v>0</v>
      </c>
      <c r="Y170" s="439">
        <v>0</v>
      </c>
    </row>
    <row r="171" spans="1:26" ht="13.8" thickBot="1" x14ac:dyDescent="0.3">
      <c r="A171" s="435" t="s">
        <v>117</v>
      </c>
      <c r="B171" s="429">
        <f t="shared" ref="B171:X171" si="60">(C170+B170)*(C169-B169)/2</f>
        <v>0.15</v>
      </c>
      <c r="C171" s="430">
        <f t="shared" si="60"/>
        <v>0.596028</v>
      </c>
      <c r="D171" s="430">
        <f t="shared" si="60"/>
        <v>0.83384099999999994</v>
      </c>
      <c r="E171" s="430">
        <f t="shared" si="60"/>
        <v>1.8691364999999995</v>
      </c>
      <c r="F171" s="430">
        <f t="shared" si="60"/>
        <v>6.3568299999999995</v>
      </c>
      <c r="G171" s="430">
        <f t="shared" si="60"/>
        <v>6.8536450000000011</v>
      </c>
      <c r="H171" s="430">
        <f t="shared" si="60"/>
        <v>6.1140555000000001</v>
      </c>
      <c r="I171" s="430">
        <f t="shared" si="60"/>
        <v>6.8098280000000013</v>
      </c>
      <c r="J171" s="430">
        <f t="shared" si="60"/>
        <v>5.5142475000000006</v>
      </c>
      <c r="K171" s="430">
        <f t="shared" si="60"/>
        <v>8.5720479999999988</v>
      </c>
      <c r="L171" s="430">
        <f t="shared" si="60"/>
        <v>5.1639720000000047</v>
      </c>
      <c r="M171" s="430">
        <f t="shared" si="60"/>
        <v>5.8170404999999956</v>
      </c>
      <c r="N171" s="430">
        <f t="shared" si="60"/>
        <v>3.3723320000000032</v>
      </c>
      <c r="O171" s="430">
        <f t="shared" si="60"/>
        <v>3.2691349999999941</v>
      </c>
      <c r="P171" s="430">
        <f t="shared" si="60"/>
        <v>1.9139000000000017</v>
      </c>
      <c r="Q171" s="430">
        <f t="shared" si="60"/>
        <v>1.2695310000000011</v>
      </c>
      <c r="R171" s="430">
        <f t="shared" si="60"/>
        <v>1.2669510000000013</v>
      </c>
      <c r="S171" s="430">
        <f t="shared" si="60"/>
        <v>1.9164269999999977</v>
      </c>
      <c r="T171" s="430">
        <f t="shared" si="60"/>
        <v>0.40854900000000038</v>
      </c>
      <c r="U171" s="430">
        <f t="shared" si="60"/>
        <v>0.19868000000000019</v>
      </c>
      <c r="V171" s="430">
        <f t="shared" si="60"/>
        <v>0.114426</v>
      </c>
      <c r="W171" s="430">
        <f t="shared" si="60"/>
        <v>0</v>
      </c>
      <c r="X171" s="430">
        <f t="shared" si="60"/>
        <v>0</v>
      </c>
      <c r="Y171" s="424"/>
    </row>
    <row r="172" spans="1:26" ht="13.8" thickBot="1" x14ac:dyDescent="0.3">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6" ht="13.8" thickBot="1" x14ac:dyDescent="0.3">
      <c r="A173" s="416" t="s">
        <v>325</v>
      </c>
      <c r="B173" s="414">
        <f>ROW(A173)</f>
        <v>173</v>
      </c>
      <c r="C173" s="418" t="s">
        <v>116</v>
      </c>
      <c r="D173" s="408">
        <f>SUM(B176:Y176)</f>
        <v>67.985428500000012</v>
      </c>
      <c r="E173" s="418" t="s">
        <v>115</v>
      </c>
      <c r="F173" s="409">
        <f>D173/g/J173</f>
        <v>181.89545859519862</v>
      </c>
      <c r="G173" s="418" t="s">
        <v>57</v>
      </c>
      <c r="H173" s="86">
        <v>9.1799999999999993E-2</v>
      </c>
      <c r="I173" s="418" t="s">
        <v>272</v>
      </c>
      <c r="J173" s="410">
        <f>H173-L173</f>
        <v>3.8099999999999988E-2</v>
      </c>
      <c r="K173" s="418" t="s">
        <v>273</v>
      </c>
      <c r="L173" s="86">
        <v>5.3700000000000005E-2</v>
      </c>
      <c r="M173" s="418" t="s">
        <v>58</v>
      </c>
      <c r="N173" s="457">
        <v>66.5</v>
      </c>
      <c r="O173" s="418" t="s">
        <v>60</v>
      </c>
      <c r="P173" s="457">
        <v>66.5</v>
      </c>
      <c r="Q173" s="418" t="s">
        <v>61</v>
      </c>
      <c r="R173" s="87">
        <v>133</v>
      </c>
      <c r="S173" s="418" t="s">
        <v>62</v>
      </c>
      <c r="T173" s="87">
        <v>24</v>
      </c>
      <c r="U173" s="418" t="s">
        <v>55</v>
      </c>
      <c r="V173" s="88" t="s">
        <v>401</v>
      </c>
      <c r="W173" s="547" t="s">
        <v>396</v>
      </c>
      <c r="X173" s="549">
        <v>0.33</v>
      </c>
      <c r="Y173" s="547" t="s">
        <v>395</v>
      </c>
      <c r="Z173" s="413">
        <v>15</v>
      </c>
    </row>
    <row r="174" spans="1:26" x14ac:dyDescent="0.25">
      <c r="A174" s="417" t="s">
        <v>33</v>
      </c>
      <c r="B174" s="441">
        <v>0</v>
      </c>
      <c r="C174" s="442">
        <v>4.0000000000000001E-3</v>
      </c>
      <c r="D174" s="442">
        <v>7.0000000000000001E-3</v>
      </c>
      <c r="E174" s="442">
        <v>0.01</v>
      </c>
      <c r="F174" s="442">
        <v>2.1999999999999999E-2</v>
      </c>
      <c r="G174" s="442">
        <v>2.8000000000000001E-2</v>
      </c>
      <c r="H174" s="442">
        <v>4.1000000000000002E-2</v>
      </c>
      <c r="I174" s="442">
        <v>5.8000000000000003E-2</v>
      </c>
      <c r="J174" s="442">
        <v>7.6999999999999999E-2</v>
      </c>
      <c r="K174" s="442">
        <v>8.8999999999999996E-2</v>
      </c>
      <c r="L174" s="442">
        <v>9.7000000000000003E-2</v>
      </c>
      <c r="M174" s="442">
        <v>0.11899999999999999</v>
      </c>
      <c r="N174" s="442">
        <v>0.14699999999999999</v>
      </c>
      <c r="O174" s="442">
        <v>0.17699999999999999</v>
      </c>
      <c r="P174" s="442">
        <v>0.20699999999999999</v>
      </c>
      <c r="Q174" s="442">
        <v>0.253</v>
      </c>
      <c r="R174" s="442">
        <v>0.25900000000000001</v>
      </c>
      <c r="S174" s="442">
        <v>0.27200000000000002</v>
      </c>
      <c r="T174" s="442">
        <v>0.28000000000000003</v>
      </c>
      <c r="U174" s="442">
        <v>0.28599999999999998</v>
      </c>
      <c r="V174" s="442">
        <v>0.29399999999999998</v>
      </c>
      <c r="W174" s="442">
        <v>0.32800000000000001</v>
      </c>
      <c r="X174" s="442">
        <v>2</v>
      </c>
      <c r="Y174" s="444">
        <v>1000</v>
      </c>
    </row>
    <row r="175" spans="1:26" x14ac:dyDescent="0.25">
      <c r="A175" s="434" t="s">
        <v>34</v>
      </c>
      <c r="B175" s="443">
        <v>0</v>
      </c>
      <c r="C175" s="431">
        <v>100.52800000000001</v>
      </c>
      <c r="D175" s="431">
        <v>197.49299999999999</v>
      </c>
      <c r="E175" s="431">
        <v>222.03200000000001</v>
      </c>
      <c r="F175" s="431">
        <v>241.42500000000001</v>
      </c>
      <c r="G175" s="431">
        <v>237.863</v>
      </c>
      <c r="H175" s="431">
        <v>239.446</v>
      </c>
      <c r="I175" s="431">
        <v>252.50700000000001</v>
      </c>
      <c r="J175" s="431">
        <v>263.98399999999998</v>
      </c>
      <c r="K175" s="431">
        <v>275.46199999999999</v>
      </c>
      <c r="L175" s="431">
        <v>271.50400000000002</v>
      </c>
      <c r="M175" s="431">
        <v>278.62799999999999</v>
      </c>
      <c r="N175" s="431">
        <v>281.39800000000002</v>
      </c>
      <c r="O175" s="431">
        <v>272.29599999999999</v>
      </c>
      <c r="P175" s="431">
        <v>258.44299999999998</v>
      </c>
      <c r="Q175" s="431">
        <v>218.47</v>
      </c>
      <c r="R175" s="431">
        <v>188.786</v>
      </c>
      <c r="S175" s="431">
        <v>74.802000000000007</v>
      </c>
      <c r="T175" s="431">
        <v>31.265999999999998</v>
      </c>
      <c r="U175" s="431">
        <v>15.831</v>
      </c>
      <c r="V175" s="431">
        <v>8.7070000000000007</v>
      </c>
      <c r="W175" s="431">
        <v>0</v>
      </c>
      <c r="X175" s="433">
        <v>0</v>
      </c>
      <c r="Y175" s="439">
        <v>0</v>
      </c>
    </row>
    <row r="176" spans="1:26" ht="13.8" thickBot="1" x14ac:dyDescent="0.3">
      <c r="A176" s="435" t="s">
        <v>117</v>
      </c>
      <c r="B176" s="429">
        <f t="shared" ref="B176:X176" si="61">(C175+B175)*(C174-B174)/2</f>
        <v>0.20105600000000001</v>
      </c>
      <c r="C176" s="430">
        <f t="shared" si="61"/>
        <v>0.44703150000000003</v>
      </c>
      <c r="D176" s="430">
        <f t="shared" si="61"/>
        <v>0.6292875</v>
      </c>
      <c r="E176" s="430">
        <f t="shared" si="61"/>
        <v>2.7807419999999996</v>
      </c>
      <c r="F176" s="430">
        <f t="shared" si="61"/>
        <v>1.4378640000000005</v>
      </c>
      <c r="G176" s="430">
        <f t="shared" si="61"/>
        <v>3.1025084999999999</v>
      </c>
      <c r="H176" s="430">
        <f t="shared" si="61"/>
        <v>4.1816005000000001</v>
      </c>
      <c r="I176" s="430">
        <f t="shared" si="61"/>
        <v>4.9066644999999989</v>
      </c>
      <c r="J176" s="430">
        <f t="shared" si="61"/>
        <v>3.2366759999999988</v>
      </c>
      <c r="K176" s="430">
        <f t="shared" si="61"/>
        <v>2.187864000000002</v>
      </c>
      <c r="L176" s="430">
        <f t="shared" si="61"/>
        <v>6.0514519999999985</v>
      </c>
      <c r="M176" s="430">
        <f t="shared" si="61"/>
        <v>7.8403640000000001</v>
      </c>
      <c r="N176" s="430">
        <f t="shared" si="61"/>
        <v>8.3054099999999984</v>
      </c>
      <c r="O176" s="430">
        <f t="shared" si="61"/>
        <v>7.9610850000000006</v>
      </c>
      <c r="P176" s="430">
        <f t="shared" si="61"/>
        <v>10.968999000000004</v>
      </c>
      <c r="Q176" s="430">
        <f t="shared" si="61"/>
        <v>1.2217680000000011</v>
      </c>
      <c r="R176" s="430">
        <f t="shared" si="61"/>
        <v>1.7133220000000016</v>
      </c>
      <c r="S176" s="430">
        <f t="shared" si="61"/>
        <v>0.42427200000000043</v>
      </c>
      <c r="T176" s="430">
        <f t="shared" si="61"/>
        <v>0.14129099999999881</v>
      </c>
      <c r="U176" s="430">
        <f t="shared" si="61"/>
        <v>9.8152000000000086E-2</v>
      </c>
      <c r="V176" s="430">
        <f t="shared" si="61"/>
        <v>0.14801900000000015</v>
      </c>
      <c r="W176" s="430">
        <f t="shared" si="61"/>
        <v>0</v>
      </c>
      <c r="X176" s="430">
        <f t="shared" si="61"/>
        <v>0</v>
      </c>
      <c r="Y176" s="424"/>
    </row>
    <row r="177" spans="1:26" ht="13.8" thickBot="1" x14ac:dyDescent="0.3">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6" ht="13.8" thickBot="1" x14ac:dyDescent="0.3">
      <c r="A178" s="416" t="s">
        <v>326</v>
      </c>
      <c r="B178" s="414">
        <f>ROW(A178)</f>
        <v>178</v>
      </c>
      <c r="C178" s="418" t="s">
        <v>116</v>
      </c>
      <c r="D178" s="408">
        <f>SUM(B181:Y181)</f>
        <v>73.557381500000005</v>
      </c>
      <c r="E178" s="418" t="s">
        <v>115</v>
      </c>
      <c r="F178" s="409">
        <f>D178/g/J178</f>
        <v>156.86619302308719</v>
      </c>
      <c r="G178" s="418" t="s">
        <v>57</v>
      </c>
      <c r="H178" s="86">
        <v>0.1022</v>
      </c>
      <c r="I178" s="418" t="s">
        <v>272</v>
      </c>
      <c r="J178" s="410">
        <f>H178-L178</f>
        <v>4.7800000000000002E-2</v>
      </c>
      <c r="K178" s="418" t="s">
        <v>273</v>
      </c>
      <c r="L178" s="86">
        <v>5.4399999999999997E-2</v>
      </c>
      <c r="M178" s="418" t="s">
        <v>58</v>
      </c>
      <c r="N178" s="457">
        <v>66.5</v>
      </c>
      <c r="O178" s="418" t="s">
        <v>60</v>
      </c>
      <c r="P178" s="457">
        <v>66.5</v>
      </c>
      <c r="Q178" s="418" t="s">
        <v>61</v>
      </c>
      <c r="R178" s="87">
        <v>133</v>
      </c>
      <c r="S178" s="418" t="s">
        <v>62</v>
      </c>
      <c r="T178" s="87">
        <v>24</v>
      </c>
      <c r="U178" s="418" t="s">
        <v>55</v>
      </c>
      <c r="V178" s="88" t="s">
        <v>401</v>
      </c>
      <c r="W178" s="547" t="s">
        <v>396</v>
      </c>
      <c r="X178" s="549">
        <v>2.36</v>
      </c>
      <c r="Y178" s="547" t="s">
        <v>395</v>
      </c>
      <c r="Z178" s="413">
        <v>6</v>
      </c>
    </row>
    <row r="179" spans="1:26" x14ac:dyDescent="0.25">
      <c r="A179" s="417" t="s">
        <v>33</v>
      </c>
      <c r="B179" s="441">
        <v>0</v>
      </c>
      <c r="C179" s="442">
        <v>1.4E-2</v>
      </c>
      <c r="D179" s="442">
        <v>5.6000000000000001E-2</v>
      </c>
      <c r="E179" s="442">
        <v>9.1999999999999998E-2</v>
      </c>
      <c r="F179" s="442">
        <v>0.16</v>
      </c>
      <c r="G179" s="442">
        <v>0.23200000000000001</v>
      </c>
      <c r="H179" s="442">
        <v>0.36299999999999999</v>
      </c>
      <c r="I179" s="442">
        <v>0.499</v>
      </c>
      <c r="J179" s="442">
        <v>0.65500000000000003</v>
      </c>
      <c r="K179" s="442">
        <v>0.84299999999999997</v>
      </c>
      <c r="L179" s="442">
        <v>1.216</v>
      </c>
      <c r="M179" s="442">
        <v>1.3680000000000001</v>
      </c>
      <c r="N179" s="442">
        <v>1.54</v>
      </c>
      <c r="O179" s="442">
        <v>1.675</v>
      </c>
      <c r="P179" s="442">
        <v>1.861</v>
      </c>
      <c r="Q179" s="442">
        <v>2.0129999999999999</v>
      </c>
      <c r="R179" s="442">
        <v>2.1589999999999998</v>
      </c>
      <c r="S179" s="442">
        <v>2.302</v>
      </c>
      <c r="T179" s="442">
        <v>2.4620000000000002</v>
      </c>
      <c r="U179" s="442">
        <v>2.5979999999999999</v>
      </c>
      <c r="V179" s="442">
        <v>2.5979999999999999</v>
      </c>
      <c r="W179" s="442">
        <v>2.5979999999999999</v>
      </c>
      <c r="X179" s="442">
        <v>2.5979999999999999</v>
      </c>
      <c r="Y179" s="444">
        <v>1000</v>
      </c>
    </row>
    <row r="180" spans="1:26" x14ac:dyDescent="0.25">
      <c r="A180" s="434" t="s">
        <v>34</v>
      </c>
      <c r="B180" s="443">
        <v>0</v>
      </c>
      <c r="C180" s="431">
        <v>54.222000000000001</v>
      </c>
      <c r="D180" s="431">
        <v>43.456000000000003</v>
      </c>
      <c r="E180" s="431">
        <v>50.185000000000002</v>
      </c>
      <c r="F180" s="431">
        <v>54.063000000000002</v>
      </c>
      <c r="G180" s="431">
        <v>48.363999999999997</v>
      </c>
      <c r="H180" s="431">
        <v>45.752000000000002</v>
      </c>
      <c r="I180" s="431">
        <v>43.14</v>
      </c>
      <c r="J180" s="431">
        <v>40.29</v>
      </c>
      <c r="K180" s="431">
        <v>37.835999999999999</v>
      </c>
      <c r="L180" s="431">
        <v>32.612000000000002</v>
      </c>
      <c r="M180" s="431">
        <v>30.317</v>
      </c>
      <c r="N180" s="431">
        <v>26.359000000000002</v>
      </c>
      <c r="O180" s="431">
        <v>23.509</v>
      </c>
      <c r="P180" s="431">
        <v>19.077000000000002</v>
      </c>
      <c r="Q180" s="431">
        <v>14.565</v>
      </c>
      <c r="R180" s="431">
        <v>10.053000000000001</v>
      </c>
      <c r="S180" s="431">
        <v>4.8280000000000003</v>
      </c>
      <c r="T180" s="431">
        <v>1.504</v>
      </c>
      <c r="U180" s="433">
        <v>0</v>
      </c>
      <c r="V180" s="433">
        <v>0</v>
      </c>
      <c r="W180" s="433">
        <v>0</v>
      </c>
      <c r="X180" s="433">
        <v>0</v>
      </c>
      <c r="Y180" s="439">
        <v>0</v>
      </c>
    </row>
    <row r="181" spans="1:26" ht="13.8" thickBot="1" x14ac:dyDescent="0.3">
      <c r="A181" s="435" t="s">
        <v>117</v>
      </c>
      <c r="B181" s="429">
        <f t="shared" ref="B181:X181" si="62">(C180+B180)*(C179-B179)/2</f>
        <v>0.379554</v>
      </c>
      <c r="C181" s="430">
        <f t="shared" si="62"/>
        <v>2.0512380000000001</v>
      </c>
      <c r="D181" s="430">
        <f t="shared" si="62"/>
        <v>1.685538</v>
      </c>
      <c r="E181" s="430">
        <f t="shared" si="62"/>
        <v>3.5444320000000005</v>
      </c>
      <c r="F181" s="430">
        <f t="shared" si="62"/>
        <v>3.6873720000000003</v>
      </c>
      <c r="G181" s="430">
        <f t="shared" si="62"/>
        <v>6.1645979999999989</v>
      </c>
      <c r="H181" s="430">
        <f t="shared" si="62"/>
        <v>6.0446559999999998</v>
      </c>
      <c r="I181" s="430">
        <f t="shared" si="62"/>
        <v>6.5075400000000014</v>
      </c>
      <c r="J181" s="430">
        <f t="shared" si="62"/>
        <v>7.343843999999998</v>
      </c>
      <c r="K181" s="430">
        <f t="shared" si="62"/>
        <v>13.138552000000001</v>
      </c>
      <c r="L181" s="430">
        <f t="shared" si="62"/>
        <v>4.7826040000000045</v>
      </c>
      <c r="M181" s="430">
        <f t="shared" si="62"/>
        <v>4.8741359999999982</v>
      </c>
      <c r="N181" s="430">
        <f t="shared" si="62"/>
        <v>3.3660900000000002</v>
      </c>
      <c r="O181" s="430">
        <f t="shared" si="62"/>
        <v>3.9604979999999985</v>
      </c>
      <c r="P181" s="430">
        <f t="shared" si="62"/>
        <v>2.5567919999999988</v>
      </c>
      <c r="Q181" s="430">
        <f t="shared" si="62"/>
        <v>1.797113999999999</v>
      </c>
      <c r="R181" s="430">
        <f t="shared" si="62"/>
        <v>1.0639915000000018</v>
      </c>
      <c r="S181" s="430">
        <f t="shared" si="62"/>
        <v>0.50656000000000045</v>
      </c>
      <c r="T181" s="430">
        <f t="shared" si="62"/>
        <v>0.10227199999999975</v>
      </c>
      <c r="U181" s="430">
        <f t="shared" si="62"/>
        <v>0</v>
      </c>
      <c r="V181" s="430">
        <f t="shared" si="62"/>
        <v>0</v>
      </c>
      <c r="W181" s="430">
        <f t="shared" si="62"/>
        <v>0</v>
      </c>
      <c r="X181" s="430">
        <f t="shared" si="62"/>
        <v>0</v>
      </c>
      <c r="Y181" s="424"/>
    </row>
    <row r="182" spans="1:26" ht="13.8" thickBot="1" x14ac:dyDescent="0.3">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6" ht="13.8" thickBot="1" x14ac:dyDescent="0.3">
      <c r="A183" s="416" t="s">
        <v>327</v>
      </c>
      <c r="B183" s="414">
        <f>ROW(A183)</f>
        <v>183</v>
      </c>
      <c r="C183" s="418" t="s">
        <v>116</v>
      </c>
      <c r="D183" s="408">
        <f>SUM(B186:Y186)</f>
        <v>73.169517999999997</v>
      </c>
      <c r="E183" s="418" t="s">
        <v>115</v>
      </c>
      <c r="F183" s="409">
        <f>D183/g/J183</f>
        <v>177.58729673316827</v>
      </c>
      <c r="G183" s="418" t="s">
        <v>57</v>
      </c>
      <c r="H183" s="86">
        <v>9.6000000000000002E-2</v>
      </c>
      <c r="I183" s="418" t="s">
        <v>272</v>
      </c>
      <c r="J183" s="410">
        <f>H183-L183</f>
        <v>4.2000000000000003E-2</v>
      </c>
      <c r="K183" s="418" t="s">
        <v>273</v>
      </c>
      <c r="L183" s="86">
        <v>5.3999999999999999E-2</v>
      </c>
      <c r="M183" s="418" t="s">
        <v>58</v>
      </c>
      <c r="N183" s="457">
        <v>66.5</v>
      </c>
      <c r="O183" s="418" t="s">
        <v>60</v>
      </c>
      <c r="P183" s="457">
        <v>66.5</v>
      </c>
      <c r="Q183" s="418" t="s">
        <v>61</v>
      </c>
      <c r="R183" s="87">
        <v>133</v>
      </c>
      <c r="S183" s="418" t="s">
        <v>62</v>
      </c>
      <c r="T183" s="87">
        <v>24</v>
      </c>
      <c r="U183" s="418" t="s">
        <v>55</v>
      </c>
      <c r="V183" s="88" t="s">
        <v>401</v>
      </c>
      <c r="W183" s="547" t="s">
        <v>396</v>
      </c>
      <c r="X183" s="549">
        <v>0.87</v>
      </c>
      <c r="Y183" s="547" t="s">
        <v>395</v>
      </c>
      <c r="Z183" s="413">
        <v>15</v>
      </c>
    </row>
    <row r="184" spans="1:26" x14ac:dyDescent="0.25">
      <c r="A184" s="417" t="s">
        <v>33</v>
      </c>
      <c r="B184" s="441">
        <v>0</v>
      </c>
      <c r="C184" s="442">
        <v>0.01</v>
      </c>
      <c r="D184" s="442">
        <v>2.3E-2</v>
      </c>
      <c r="E184" s="442">
        <v>0.04</v>
      </c>
      <c r="F184" s="442">
        <v>0.11799999999999999</v>
      </c>
      <c r="G184" s="442">
        <v>0.28299999999999997</v>
      </c>
      <c r="H184" s="442">
        <v>0.51</v>
      </c>
      <c r="I184" s="442">
        <v>0.68799999999999994</v>
      </c>
      <c r="J184" s="442">
        <v>0.78700000000000003</v>
      </c>
      <c r="K184" s="442">
        <v>0.85199999999999998</v>
      </c>
      <c r="L184" s="442">
        <v>0.873</v>
      </c>
      <c r="M184" s="442">
        <v>0.873</v>
      </c>
      <c r="N184" s="442">
        <v>0.873</v>
      </c>
      <c r="O184" s="442">
        <v>0.873</v>
      </c>
      <c r="P184" s="442">
        <v>0.873</v>
      </c>
      <c r="Q184" s="442">
        <v>0.873</v>
      </c>
      <c r="R184" s="442">
        <v>0.873</v>
      </c>
      <c r="S184" s="442">
        <v>0.873</v>
      </c>
      <c r="T184" s="442">
        <v>0.873</v>
      </c>
      <c r="U184" s="442">
        <v>0.873</v>
      </c>
      <c r="V184" s="442">
        <v>0.873</v>
      </c>
      <c r="W184" s="442">
        <v>0.873</v>
      </c>
      <c r="X184" s="442">
        <v>2</v>
      </c>
      <c r="Y184" s="444">
        <v>1000</v>
      </c>
    </row>
    <row r="185" spans="1:26" x14ac:dyDescent="0.25">
      <c r="A185" s="434" t="s">
        <v>34</v>
      </c>
      <c r="B185" s="443">
        <v>0</v>
      </c>
      <c r="C185" s="431">
        <v>76.073999999999998</v>
      </c>
      <c r="D185" s="431">
        <v>100.185</v>
      </c>
      <c r="E185" s="431">
        <v>92.424999999999997</v>
      </c>
      <c r="F185" s="431">
        <v>100.878</v>
      </c>
      <c r="G185" s="431">
        <v>102.402</v>
      </c>
      <c r="H185" s="431">
        <v>96.442999999999998</v>
      </c>
      <c r="I185" s="431">
        <v>87.436000000000007</v>
      </c>
      <c r="J185" s="431">
        <v>25.911999999999999</v>
      </c>
      <c r="K185" s="431">
        <v>7.2060000000000004</v>
      </c>
      <c r="L185" s="433">
        <v>0</v>
      </c>
      <c r="M185" s="433">
        <v>0</v>
      </c>
      <c r="N185" s="433">
        <v>0</v>
      </c>
      <c r="O185" s="433">
        <v>0</v>
      </c>
      <c r="P185" s="433">
        <v>0</v>
      </c>
      <c r="Q185" s="433">
        <v>0</v>
      </c>
      <c r="R185" s="433">
        <v>0</v>
      </c>
      <c r="S185" s="433">
        <v>0</v>
      </c>
      <c r="T185" s="433">
        <v>0</v>
      </c>
      <c r="U185" s="433">
        <v>0</v>
      </c>
      <c r="V185" s="433">
        <v>0</v>
      </c>
      <c r="W185" s="433">
        <v>0</v>
      </c>
      <c r="X185" s="433">
        <v>0</v>
      </c>
      <c r="Y185" s="439">
        <v>0</v>
      </c>
    </row>
    <row r="186" spans="1:26" ht="13.8" thickBot="1" x14ac:dyDescent="0.3">
      <c r="A186" s="435" t="s">
        <v>117</v>
      </c>
      <c r="B186" s="429">
        <f t="shared" ref="B186:X186" si="63">(C185+B185)*(C184-B184)/2</f>
        <v>0.38036999999999999</v>
      </c>
      <c r="C186" s="430">
        <f t="shared" si="63"/>
        <v>1.1456835000000001</v>
      </c>
      <c r="D186" s="430">
        <f t="shared" si="63"/>
        <v>1.6371850000000003</v>
      </c>
      <c r="E186" s="430">
        <f t="shared" si="63"/>
        <v>7.5388169999999981</v>
      </c>
      <c r="F186" s="430">
        <f t="shared" si="63"/>
        <v>16.770599999999998</v>
      </c>
      <c r="G186" s="430">
        <f t="shared" si="63"/>
        <v>22.568907500000002</v>
      </c>
      <c r="H186" s="430">
        <f t="shared" si="63"/>
        <v>16.365230999999994</v>
      </c>
      <c r="I186" s="430">
        <f t="shared" si="63"/>
        <v>5.6107260000000059</v>
      </c>
      <c r="J186" s="430">
        <f t="shared" si="63"/>
        <v>1.0763349999999992</v>
      </c>
      <c r="K186" s="430">
        <f t="shared" si="63"/>
        <v>7.5663000000000077E-2</v>
      </c>
      <c r="L186" s="430">
        <f t="shared" si="63"/>
        <v>0</v>
      </c>
      <c r="M186" s="430">
        <f t="shared" si="63"/>
        <v>0</v>
      </c>
      <c r="N186" s="430">
        <f t="shared" si="63"/>
        <v>0</v>
      </c>
      <c r="O186" s="430">
        <f t="shared" si="63"/>
        <v>0</v>
      </c>
      <c r="P186" s="430">
        <f t="shared" si="63"/>
        <v>0</v>
      </c>
      <c r="Q186" s="430">
        <f t="shared" si="63"/>
        <v>0</v>
      </c>
      <c r="R186" s="430">
        <f t="shared" si="63"/>
        <v>0</v>
      </c>
      <c r="S186" s="430">
        <f t="shared" si="63"/>
        <v>0</v>
      </c>
      <c r="T186" s="430">
        <f t="shared" si="63"/>
        <v>0</v>
      </c>
      <c r="U186" s="430">
        <f t="shared" si="63"/>
        <v>0</v>
      </c>
      <c r="V186" s="430">
        <f t="shared" si="63"/>
        <v>0</v>
      </c>
      <c r="W186" s="430">
        <f t="shared" si="63"/>
        <v>0</v>
      </c>
      <c r="X186" s="430">
        <f t="shared" si="63"/>
        <v>0</v>
      </c>
      <c r="Y186" s="424"/>
    </row>
    <row r="187" spans="1:26" ht="13.8" thickBot="1" x14ac:dyDescent="0.3">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6" ht="13.8" thickBot="1" x14ac:dyDescent="0.3">
      <c r="A188" s="416" t="s">
        <v>328</v>
      </c>
      <c r="B188" s="414">
        <f>ROW(A188)</f>
        <v>188</v>
      </c>
      <c r="C188" s="418" t="s">
        <v>116</v>
      </c>
      <c r="D188" s="408">
        <f>SUM(B191:Y191)</f>
        <v>75.254384000000016</v>
      </c>
      <c r="E188" s="418" t="s">
        <v>115</v>
      </c>
      <c r="F188" s="409">
        <f>D188/g/J188</f>
        <v>232.46033422914161</v>
      </c>
      <c r="G188" s="418" t="s">
        <v>57</v>
      </c>
      <c r="H188" s="86">
        <v>9.5000000000000001E-2</v>
      </c>
      <c r="I188" s="418" t="s">
        <v>272</v>
      </c>
      <c r="J188" s="410">
        <f>H188-L188</f>
        <v>3.3000000000000002E-2</v>
      </c>
      <c r="K188" s="418" t="s">
        <v>273</v>
      </c>
      <c r="L188" s="86">
        <f>0.095-0.033</f>
        <v>6.2E-2</v>
      </c>
      <c r="M188" s="418" t="s">
        <v>58</v>
      </c>
      <c r="N188" s="457">
        <v>66.5</v>
      </c>
      <c r="O188" s="418" t="s">
        <v>60</v>
      </c>
      <c r="P188" s="457">
        <v>66.5</v>
      </c>
      <c r="Q188" s="418" t="s">
        <v>61</v>
      </c>
      <c r="R188" s="87">
        <v>133</v>
      </c>
      <c r="S188" s="418" t="s">
        <v>62</v>
      </c>
      <c r="T188" s="87">
        <v>24</v>
      </c>
      <c r="U188" s="418" t="s">
        <v>55</v>
      </c>
      <c r="V188" s="88" t="s">
        <v>401</v>
      </c>
      <c r="W188" s="547" t="s">
        <v>396</v>
      </c>
      <c r="X188" s="549">
        <v>1.5</v>
      </c>
      <c r="Y188" s="547" t="s">
        <v>395</v>
      </c>
      <c r="Z188" s="413">
        <v>12</v>
      </c>
    </row>
    <row r="189" spans="1:26" x14ac:dyDescent="0.25">
      <c r="A189" s="417" t="s">
        <v>33</v>
      </c>
      <c r="B189" s="425">
        <v>0</v>
      </c>
      <c r="C189" s="426">
        <v>0.02</v>
      </c>
      <c r="D189" s="426">
        <v>3.1E-2</v>
      </c>
      <c r="E189" s="426">
        <v>6.2E-2</v>
      </c>
      <c r="F189" s="426">
        <v>0.11700000000000001</v>
      </c>
      <c r="G189" s="426">
        <v>1.2110000000000001</v>
      </c>
      <c r="H189" s="426">
        <v>1.3759999999999999</v>
      </c>
      <c r="I189" s="426">
        <v>1.456</v>
      </c>
      <c r="J189" s="426">
        <v>1.532</v>
      </c>
      <c r="K189" s="426">
        <v>1.577</v>
      </c>
      <c r="L189" s="442">
        <v>2</v>
      </c>
      <c r="M189" s="442">
        <v>2</v>
      </c>
      <c r="N189" s="442">
        <v>2</v>
      </c>
      <c r="O189" s="442">
        <v>2</v>
      </c>
      <c r="P189" s="442">
        <v>2</v>
      </c>
      <c r="Q189" s="442">
        <v>2</v>
      </c>
      <c r="R189" s="442">
        <v>2</v>
      </c>
      <c r="S189" s="442">
        <v>2</v>
      </c>
      <c r="T189" s="442">
        <v>2</v>
      </c>
      <c r="U189" s="442">
        <v>2</v>
      </c>
      <c r="V189" s="442">
        <v>2</v>
      </c>
      <c r="W189" s="442">
        <v>2</v>
      </c>
      <c r="X189" s="442">
        <f t="shared" ref="T189:X190" si="64">W189</f>
        <v>2</v>
      </c>
      <c r="Y189" s="444">
        <v>1000</v>
      </c>
    </row>
    <row r="190" spans="1:26" x14ac:dyDescent="0.25">
      <c r="A190" s="434" t="s">
        <v>34</v>
      </c>
      <c r="B190" s="427">
        <v>0</v>
      </c>
      <c r="C190" s="428">
        <v>75.924000000000007</v>
      </c>
      <c r="D190" s="428">
        <v>84.147999999999996</v>
      </c>
      <c r="E190" s="428">
        <v>70.441000000000003</v>
      </c>
      <c r="F190" s="428">
        <v>73.659000000000006</v>
      </c>
      <c r="G190" s="428">
        <v>38.737000000000002</v>
      </c>
      <c r="H190" s="428">
        <v>14.779</v>
      </c>
      <c r="I190" s="428">
        <v>7.2709999999999999</v>
      </c>
      <c r="J190" s="428">
        <v>3.3370000000000002</v>
      </c>
      <c r="K190" s="428">
        <v>0</v>
      </c>
      <c r="L190" s="433">
        <v>0</v>
      </c>
      <c r="M190" s="433">
        <v>0</v>
      </c>
      <c r="N190" s="433">
        <v>0</v>
      </c>
      <c r="O190" s="433">
        <v>0</v>
      </c>
      <c r="P190" s="433">
        <v>0</v>
      </c>
      <c r="Q190" s="433">
        <v>0</v>
      </c>
      <c r="R190" s="433">
        <v>0</v>
      </c>
      <c r="S190" s="433">
        <v>0</v>
      </c>
      <c r="T190" s="433">
        <f t="shared" si="64"/>
        <v>0</v>
      </c>
      <c r="U190" s="433">
        <f t="shared" si="64"/>
        <v>0</v>
      </c>
      <c r="V190" s="433">
        <f t="shared" si="64"/>
        <v>0</v>
      </c>
      <c r="W190" s="433">
        <f t="shared" si="64"/>
        <v>0</v>
      </c>
      <c r="X190" s="433">
        <f t="shared" si="64"/>
        <v>0</v>
      </c>
      <c r="Y190" s="439">
        <v>0</v>
      </c>
    </row>
    <row r="191" spans="1:26" ht="13.8" thickBot="1" x14ac:dyDescent="0.3">
      <c r="A191" s="435" t="s">
        <v>117</v>
      </c>
      <c r="B191" s="429">
        <f t="shared" ref="B191:V191" si="65">(C190+B190)*(C189-B189)/2</f>
        <v>0.75924000000000014</v>
      </c>
      <c r="C191" s="430">
        <f t="shared" si="65"/>
        <v>0.88039599999999996</v>
      </c>
      <c r="D191" s="430">
        <f t="shared" si="65"/>
        <v>2.3961294999999998</v>
      </c>
      <c r="E191" s="430">
        <f t="shared" si="65"/>
        <v>3.9627500000000011</v>
      </c>
      <c r="F191" s="430">
        <f t="shared" si="65"/>
        <v>61.480612000000015</v>
      </c>
      <c r="G191" s="430">
        <f t="shared" si="65"/>
        <v>4.4150699999999956</v>
      </c>
      <c r="H191" s="430">
        <f t="shared" si="65"/>
        <v>0.88200000000000078</v>
      </c>
      <c r="I191" s="430">
        <f t="shared" si="65"/>
        <v>0.40310400000000035</v>
      </c>
      <c r="J191" s="430">
        <f>(K190+J190)*(K189-J189)/2</f>
        <v>7.5082499999999885E-2</v>
      </c>
      <c r="K191" s="430">
        <f t="shared" si="65"/>
        <v>0</v>
      </c>
      <c r="L191" s="430">
        <f t="shared" si="65"/>
        <v>0</v>
      </c>
      <c r="M191" s="430">
        <f t="shared" si="65"/>
        <v>0</v>
      </c>
      <c r="N191" s="430">
        <f t="shared" si="65"/>
        <v>0</v>
      </c>
      <c r="O191" s="430">
        <f t="shared" si="65"/>
        <v>0</v>
      </c>
      <c r="P191" s="430">
        <f t="shared" si="65"/>
        <v>0</v>
      </c>
      <c r="Q191" s="430">
        <f t="shared" si="65"/>
        <v>0</v>
      </c>
      <c r="R191" s="430">
        <f t="shared" si="65"/>
        <v>0</v>
      </c>
      <c r="S191" s="430">
        <f>(T190+S190)*(T189-S189)/2</f>
        <v>0</v>
      </c>
      <c r="T191" s="430">
        <f t="shared" si="65"/>
        <v>0</v>
      </c>
      <c r="U191" s="430">
        <f t="shared" si="65"/>
        <v>0</v>
      </c>
      <c r="V191" s="430">
        <f t="shared" si="65"/>
        <v>0</v>
      </c>
      <c r="W191" s="430">
        <f>(X190+W190)*(X189-W189)/2</f>
        <v>0</v>
      </c>
      <c r="X191" s="430">
        <f>(Y190+X190)*(Y189-X189)/2</f>
        <v>0</v>
      </c>
      <c r="Y191" s="424"/>
    </row>
    <row r="192" spans="1:26" ht="13.8" thickBot="1" x14ac:dyDescent="0.3">
      <c r="A192" s="492" t="s">
        <v>375</v>
      </c>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6" ht="13.8" thickBot="1" x14ac:dyDescent="0.3">
      <c r="A193" s="416" t="s">
        <v>538</v>
      </c>
      <c r="B193" s="414">
        <f>ROW(A193)</f>
        <v>193</v>
      </c>
      <c r="C193" s="418" t="s">
        <v>116</v>
      </c>
      <c r="D193" s="408">
        <f>SUM(B196:Y196)</f>
        <v>141.04999999999998</v>
      </c>
      <c r="E193" s="418" t="s">
        <v>115</v>
      </c>
      <c r="F193" s="409">
        <f>D193/g/J193</f>
        <v>186.24592648930721</v>
      </c>
      <c r="G193" s="418" t="s">
        <v>57</v>
      </c>
      <c r="H193" s="86">
        <v>0.16189999999999999</v>
      </c>
      <c r="I193" s="418" t="s">
        <v>272</v>
      </c>
      <c r="J193" s="410">
        <f>H193-L193</f>
        <v>7.7199999999999991E-2</v>
      </c>
      <c r="K193" s="418" t="s">
        <v>273</v>
      </c>
      <c r="L193" s="86">
        <v>8.4699999999999998E-2</v>
      </c>
      <c r="M193" s="418" t="s">
        <v>58</v>
      </c>
      <c r="N193" s="87">
        <v>114</v>
      </c>
      <c r="O193" s="418" t="s">
        <v>60</v>
      </c>
      <c r="P193" s="87">
        <v>114</v>
      </c>
      <c r="Q193" s="418" t="s">
        <v>61</v>
      </c>
      <c r="R193" s="87">
        <v>228</v>
      </c>
      <c r="S193" s="418" t="s">
        <v>62</v>
      </c>
      <c r="T193" s="87">
        <v>24</v>
      </c>
      <c r="U193" s="418" t="s">
        <v>55</v>
      </c>
      <c r="V193" s="88" t="s">
        <v>120</v>
      </c>
      <c r="W193" s="547" t="s">
        <v>396</v>
      </c>
      <c r="X193" s="549">
        <v>0.96</v>
      </c>
      <c r="Y193" s="547" t="s">
        <v>395</v>
      </c>
      <c r="Z193" s="413">
        <v>15</v>
      </c>
    </row>
    <row r="194" spans="1:26" x14ac:dyDescent="0.25">
      <c r="A194" s="417" t="s">
        <v>33</v>
      </c>
      <c r="B194" s="441">
        <v>0</v>
      </c>
      <c r="C194" s="442">
        <v>0.02</v>
      </c>
      <c r="D194" s="442">
        <v>0.03</v>
      </c>
      <c r="E194" s="442">
        <v>0.05</v>
      </c>
      <c r="F194" s="442">
        <v>0.6</v>
      </c>
      <c r="G194" s="442">
        <v>0.67</v>
      </c>
      <c r="H194" s="442">
        <v>0.7</v>
      </c>
      <c r="I194" s="442">
        <v>0.8</v>
      </c>
      <c r="J194" s="442">
        <v>0.9</v>
      </c>
      <c r="K194" s="442">
        <v>1.05</v>
      </c>
      <c r="L194" s="442">
        <f t="shared" ref="L194:W194" si="66">K194</f>
        <v>1.05</v>
      </c>
      <c r="M194" s="442">
        <f t="shared" si="66"/>
        <v>1.05</v>
      </c>
      <c r="N194" s="442">
        <f t="shared" si="66"/>
        <v>1.05</v>
      </c>
      <c r="O194" s="442">
        <f t="shared" si="66"/>
        <v>1.05</v>
      </c>
      <c r="P194" s="442">
        <f t="shared" si="66"/>
        <v>1.05</v>
      </c>
      <c r="Q194" s="442">
        <f t="shared" si="66"/>
        <v>1.05</v>
      </c>
      <c r="R194" s="442">
        <f t="shared" si="66"/>
        <v>1.05</v>
      </c>
      <c r="S194" s="442">
        <f t="shared" si="66"/>
        <v>1.05</v>
      </c>
      <c r="T194" s="442">
        <f t="shared" si="66"/>
        <v>1.05</v>
      </c>
      <c r="U194" s="442">
        <f t="shared" si="66"/>
        <v>1.05</v>
      </c>
      <c r="V194" s="442">
        <f t="shared" si="66"/>
        <v>1.05</v>
      </c>
      <c r="W194" s="442">
        <f t="shared" si="66"/>
        <v>1.05</v>
      </c>
      <c r="X194" s="442">
        <v>2</v>
      </c>
      <c r="Y194" s="444">
        <v>1000</v>
      </c>
    </row>
    <row r="195" spans="1:26" x14ac:dyDescent="0.25">
      <c r="A195" s="434" t="s">
        <v>34</v>
      </c>
      <c r="B195" s="443">
        <v>0</v>
      </c>
      <c r="C195" s="433">
        <v>350</v>
      </c>
      <c r="D195" s="433">
        <v>250</v>
      </c>
      <c r="E195" s="433">
        <v>210</v>
      </c>
      <c r="F195" s="433">
        <v>150</v>
      </c>
      <c r="G195" s="433">
        <v>140</v>
      </c>
      <c r="H195" s="433">
        <v>130</v>
      </c>
      <c r="I195" s="433">
        <v>65</v>
      </c>
      <c r="J195" s="433">
        <v>30</v>
      </c>
      <c r="K195" s="433">
        <v>0</v>
      </c>
      <c r="L195" s="433">
        <v>0</v>
      </c>
      <c r="M195" s="433">
        <v>0</v>
      </c>
      <c r="N195" s="433">
        <v>0</v>
      </c>
      <c r="O195" s="433">
        <v>0</v>
      </c>
      <c r="P195" s="433">
        <v>0</v>
      </c>
      <c r="Q195" s="433">
        <v>0</v>
      </c>
      <c r="R195" s="433">
        <v>0</v>
      </c>
      <c r="S195" s="433">
        <f t="shared" ref="S195:X195" si="67">R195</f>
        <v>0</v>
      </c>
      <c r="T195" s="433">
        <f t="shared" si="67"/>
        <v>0</v>
      </c>
      <c r="U195" s="433">
        <f t="shared" si="67"/>
        <v>0</v>
      </c>
      <c r="V195" s="433">
        <f t="shared" si="67"/>
        <v>0</v>
      </c>
      <c r="W195" s="433">
        <f t="shared" si="67"/>
        <v>0</v>
      </c>
      <c r="X195" s="433">
        <f t="shared" si="67"/>
        <v>0</v>
      </c>
      <c r="Y195" s="439">
        <v>0</v>
      </c>
    </row>
    <row r="196" spans="1:26" ht="13.8" thickBot="1" x14ac:dyDescent="0.3">
      <c r="A196" s="435" t="s">
        <v>117</v>
      </c>
      <c r="B196" s="429">
        <f t="shared" ref="B196:X196" si="68">(C195+B195)*(C194-B194)/2</f>
        <v>3.5</v>
      </c>
      <c r="C196" s="430">
        <f t="shared" si="68"/>
        <v>2.9999999999999996</v>
      </c>
      <c r="D196" s="430">
        <f t="shared" si="68"/>
        <v>4.6000000000000005</v>
      </c>
      <c r="E196" s="430">
        <f t="shared" si="68"/>
        <v>98.999999999999986</v>
      </c>
      <c r="F196" s="430">
        <f t="shared" si="68"/>
        <v>10.150000000000009</v>
      </c>
      <c r="G196" s="430">
        <f t="shared" si="68"/>
        <v>4.0499999999999883</v>
      </c>
      <c r="H196" s="430">
        <f t="shared" si="68"/>
        <v>9.7500000000000089</v>
      </c>
      <c r="I196" s="430">
        <f t="shared" si="68"/>
        <v>4.7499999999999991</v>
      </c>
      <c r="J196" s="430">
        <f t="shared" si="68"/>
        <v>2.2500000000000004</v>
      </c>
      <c r="K196" s="430">
        <f t="shared" si="68"/>
        <v>0</v>
      </c>
      <c r="L196" s="430">
        <f t="shared" si="68"/>
        <v>0</v>
      </c>
      <c r="M196" s="430">
        <f t="shared" si="68"/>
        <v>0</v>
      </c>
      <c r="N196" s="430">
        <f t="shared" si="68"/>
        <v>0</v>
      </c>
      <c r="O196" s="430">
        <f t="shared" si="68"/>
        <v>0</v>
      </c>
      <c r="P196" s="430">
        <f t="shared" si="68"/>
        <v>0</v>
      </c>
      <c r="Q196" s="430">
        <f t="shared" si="68"/>
        <v>0</v>
      </c>
      <c r="R196" s="430">
        <f t="shared" si="68"/>
        <v>0</v>
      </c>
      <c r="S196" s="430">
        <f t="shared" si="68"/>
        <v>0</v>
      </c>
      <c r="T196" s="430">
        <f t="shared" si="68"/>
        <v>0</v>
      </c>
      <c r="U196" s="430">
        <f t="shared" si="68"/>
        <v>0</v>
      </c>
      <c r="V196" s="430">
        <f t="shared" si="68"/>
        <v>0</v>
      </c>
      <c r="W196" s="430">
        <f t="shared" si="68"/>
        <v>0</v>
      </c>
      <c r="X196" s="430">
        <f t="shared" si="68"/>
        <v>0</v>
      </c>
      <c r="Y196" s="424"/>
    </row>
    <row r="197" spans="1:26" ht="13.8" thickBot="1" x14ac:dyDescent="0.3">
      <c r="A197" s="17" t="s">
        <v>548</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6" ht="13.8" thickBot="1" x14ac:dyDescent="0.3">
      <c r="A198" s="416" t="s">
        <v>553</v>
      </c>
      <c r="B198" s="414">
        <f>ROW(A198)</f>
        <v>198</v>
      </c>
      <c r="C198" s="418" t="s">
        <v>116</v>
      </c>
      <c r="D198" s="408">
        <f>SUM(B201:Y201)</f>
        <v>142.44</v>
      </c>
      <c r="E198" s="418" t="s">
        <v>115</v>
      </c>
      <c r="F198" s="409">
        <f>D198/g/J198</f>
        <v>192.06187401906058</v>
      </c>
      <c r="G198" s="418" t="s">
        <v>57</v>
      </c>
      <c r="H198" s="86">
        <v>0.15989999999999999</v>
      </c>
      <c r="I198" s="418" t="s">
        <v>272</v>
      </c>
      <c r="J198" s="410">
        <f>H198-L198</f>
        <v>7.5599999999999987E-2</v>
      </c>
      <c r="K198" s="418" t="s">
        <v>273</v>
      </c>
      <c r="L198" s="86">
        <v>8.43E-2</v>
      </c>
      <c r="M198" s="418" t="s">
        <v>58</v>
      </c>
      <c r="N198" s="87">
        <v>114</v>
      </c>
      <c r="O198" s="418" t="s">
        <v>60</v>
      </c>
      <c r="P198" s="87">
        <v>114</v>
      </c>
      <c r="Q198" s="418" t="s">
        <v>61</v>
      </c>
      <c r="R198" s="87">
        <v>228</v>
      </c>
      <c r="S198" s="418" t="s">
        <v>62</v>
      </c>
      <c r="T198" s="87">
        <v>24</v>
      </c>
      <c r="U198" s="418" t="s">
        <v>55</v>
      </c>
      <c r="V198" s="88" t="s">
        <v>403</v>
      </c>
      <c r="W198" s="547" t="s">
        <v>396</v>
      </c>
      <c r="X198" s="549">
        <v>0.97</v>
      </c>
      <c r="Y198" s="547" t="s">
        <v>395</v>
      </c>
      <c r="Z198" s="413"/>
    </row>
    <row r="199" spans="1:26" x14ac:dyDescent="0.25">
      <c r="A199" s="417" t="s">
        <v>33</v>
      </c>
      <c r="B199" s="441">
        <v>0</v>
      </c>
      <c r="C199" s="442">
        <v>0.02</v>
      </c>
      <c r="D199" s="442">
        <v>0.04</v>
      </c>
      <c r="E199" s="442">
        <v>0.62</v>
      </c>
      <c r="F199" s="442">
        <v>0.66</v>
      </c>
      <c r="G199" s="442">
        <v>0.68</v>
      </c>
      <c r="H199" s="442">
        <v>0.8</v>
      </c>
      <c r="I199" s="442">
        <v>0.84</v>
      </c>
      <c r="J199" s="442">
        <v>0.88</v>
      </c>
      <c r="K199" s="442">
        <v>0.92</v>
      </c>
      <c r="L199" s="442">
        <v>0.96</v>
      </c>
      <c r="M199" s="442">
        <v>1</v>
      </c>
      <c r="N199" s="442">
        <v>1.08</v>
      </c>
      <c r="O199" s="442">
        <v>2</v>
      </c>
      <c r="P199" s="442">
        <v>2</v>
      </c>
      <c r="Q199" s="442">
        <v>2</v>
      </c>
      <c r="R199" s="442">
        <v>2</v>
      </c>
      <c r="S199" s="442">
        <f t="shared" ref="S199:X200" si="69">R199</f>
        <v>2</v>
      </c>
      <c r="T199" s="442">
        <f t="shared" si="69"/>
        <v>2</v>
      </c>
      <c r="U199" s="442">
        <f t="shared" si="69"/>
        <v>2</v>
      </c>
      <c r="V199" s="442">
        <f t="shared" si="69"/>
        <v>2</v>
      </c>
      <c r="W199" s="442">
        <f t="shared" si="69"/>
        <v>2</v>
      </c>
      <c r="X199" s="442">
        <f t="shared" si="69"/>
        <v>2</v>
      </c>
      <c r="Y199" s="444">
        <v>1000</v>
      </c>
    </row>
    <row r="200" spans="1:26" x14ac:dyDescent="0.25">
      <c r="A200" s="434" t="s">
        <v>34</v>
      </c>
      <c r="B200" s="443">
        <v>0</v>
      </c>
      <c r="C200" s="433">
        <v>250</v>
      </c>
      <c r="D200" s="433">
        <v>210</v>
      </c>
      <c r="E200" s="433">
        <v>160</v>
      </c>
      <c r="F200" s="433">
        <v>150</v>
      </c>
      <c r="G200" s="433">
        <v>142</v>
      </c>
      <c r="H200" s="433">
        <v>62</v>
      </c>
      <c r="I200" s="433">
        <v>48</v>
      </c>
      <c r="J200" s="433">
        <v>34</v>
      </c>
      <c r="K200" s="433">
        <v>24</v>
      </c>
      <c r="L200" s="433">
        <v>15</v>
      </c>
      <c r="M200" s="433">
        <v>10</v>
      </c>
      <c r="N200" s="433">
        <v>0</v>
      </c>
      <c r="O200" s="433">
        <v>0</v>
      </c>
      <c r="P200" s="433">
        <v>0</v>
      </c>
      <c r="Q200" s="433">
        <v>0</v>
      </c>
      <c r="R200" s="433">
        <v>0</v>
      </c>
      <c r="S200" s="433">
        <f t="shared" si="69"/>
        <v>0</v>
      </c>
      <c r="T200" s="433">
        <f t="shared" si="69"/>
        <v>0</v>
      </c>
      <c r="U200" s="433">
        <f t="shared" si="69"/>
        <v>0</v>
      </c>
      <c r="V200" s="433">
        <f t="shared" si="69"/>
        <v>0</v>
      </c>
      <c r="W200" s="433">
        <f t="shared" si="69"/>
        <v>0</v>
      </c>
      <c r="X200" s="433">
        <f t="shared" si="69"/>
        <v>0</v>
      </c>
      <c r="Y200" s="439">
        <v>0</v>
      </c>
    </row>
    <row r="201" spans="1:26" ht="13.8" thickBot="1" x14ac:dyDescent="0.3">
      <c r="A201" s="435" t="s">
        <v>117</v>
      </c>
      <c r="B201" s="429">
        <f t="shared" ref="B201:X201" si="70">(C200+B200)*(C199-B199)/2</f>
        <v>2.5</v>
      </c>
      <c r="C201" s="430">
        <f t="shared" si="70"/>
        <v>4.6000000000000005</v>
      </c>
      <c r="D201" s="430">
        <f t="shared" si="70"/>
        <v>107.3</v>
      </c>
      <c r="E201" s="430">
        <f t="shared" si="70"/>
        <v>6.2000000000000055</v>
      </c>
      <c r="F201" s="430">
        <f t="shared" si="70"/>
        <v>2.9200000000000026</v>
      </c>
      <c r="G201" s="430">
        <f t="shared" si="70"/>
        <v>12.24</v>
      </c>
      <c r="H201" s="430">
        <f t="shared" si="70"/>
        <v>2.1999999999999957</v>
      </c>
      <c r="I201" s="430">
        <f t="shared" si="70"/>
        <v>1.6400000000000015</v>
      </c>
      <c r="J201" s="430">
        <f t="shared" si="70"/>
        <v>1.160000000000001</v>
      </c>
      <c r="K201" s="430">
        <f t="shared" si="70"/>
        <v>0.77999999999999847</v>
      </c>
      <c r="L201" s="430">
        <f t="shared" si="70"/>
        <v>0.50000000000000044</v>
      </c>
      <c r="M201" s="430">
        <f t="shared" si="70"/>
        <v>0.40000000000000036</v>
      </c>
      <c r="N201" s="430">
        <f t="shared" si="70"/>
        <v>0</v>
      </c>
      <c r="O201" s="430">
        <f t="shared" si="70"/>
        <v>0</v>
      </c>
      <c r="P201" s="430">
        <f t="shared" si="70"/>
        <v>0</v>
      </c>
      <c r="Q201" s="430">
        <f t="shared" si="70"/>
        <v>0</v>
      </c>
      <c r="R201" s="430">
        <f t="shared" si="70"/>
        <v>0</v>
      </c>
      <c r="S201" s="430">
        <f t="shared" si="70"/>
        <v>0</v>
      </c>
      <c r="T201" s="430">
        <f t="shared" si="70"/>
        <v>0</v>
      </c>
      <c r="U201" s="430">
        <f t="shared" si="70"/>
        <v>0</v>
      </c>
      <c r="V201" s="430">
        <f t="shared" si="70"/>
        <v>0</v>
      </c>
      <c r="W201" s="430">
        <f t="shared" si="70"/>
        <v>0</v>
      </c>
      <c r="X201" s="430">
        <f t="shared" si="70"/>
        <v>0</v>
      </c>
      <c r="Y201" s="424"/>
    </row>
    <row r="202" spans="1:26" ht="13.8" thickBot="1" x14ac:dyDescent="0.3">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6" ht="13.8" thickBot="1" x14ac:dyDescent="0.3">
      <c r="A203" s="416" t="s">
        <v>540</v>
      </c>
      <c r="B203" s="414">
        <f>ROW(A203)</f>
        <v>203</v>
      </c>
      <c r="C203" s="418" t="s">
        <v>116</v>
      </c>
      <c r="D203" s="408">
        <f>SUM(B206:Y206)</f>
        <v>143.08845000000002</v>
      </c>
      <c r="E203" s="418" t="s">
        <v>115</v>
      </c>
      <c r="F203" s="409">
        <f>D203/g/J203</f>
        <v>168.23504721190514</v>
      </c>
      <c r="G203" s="418" t="s">
        <v>57</v>
      </c>
      <c r="H203" s="86">
        <v>0.17249999999999999</v>
      </c>
      <c r="I203" s="418" t="s">
        <v>272</v>
      </c>
      <c r="J203" s="410">
        <f>H203-L203</f>
        <v>8.6699999999999985E-2</v>
      </c>
      <c r="K203" s="418" t="s">
        <v>273</v>
      </c>
      <c r="L203" s="86">
        <v>8.5800000000000001E-2</v>
      </c>
      <c r="M203" s="418" t="s">
        <v>58</v>
      </c>
      <c r="N203" s="87">
        <v>114</v>
      </c>
      <c r="O203" s="418" t="s">
        <v>60</v>
      </c>
      <c r="P203" s="87">
        <v>114</v>
      </c>
      <c r="Q203" s="418" t="s">
        <v>61</v>
      </c>
      <c r="R203" s="87">
        <v>228</v>
      </c>
      <c r="S203" s="418" t="s">
        <v>62</v>
      </c>
      <c r="T203" s="87">
        <v>24</v>
      </c>
      <c r="U203" s="418" t="s">
        <v>55</v>
      </c>
      <c r="V203" s="88" t="s">
        <v>120</v>
      </c>
      <c r="W203" s="547" t="s">
        <v>396</v>
      </c>
      <c r="X203" s="549">
        <v>0.97</v>
      </c>
      <c r="Y203" s="547" t="s">
        <v>395</v>
      </c>
      <c r="Z203" s="413">
        <v>11</v>
      </c>
    </row>
    <row r="204" spans="1:26" x14ac:dyDescent="0.25">
      <c r="A204" s="417" t="s">
        <v>33</v>
      </c>
      <c r="B204" s="441">
        <v>0</v>
      </c>
      <c r="C204" s="442">
        <v>8.0000000000000002E-3</v>
      </c>
      <c r="D204" s="442">
        <v>1.2999999999999999E-2</v>
      </c>
      <c r="E204" s="442">
        <v>2.1999999999999999E-2</v>
      </c>
      <c r="F204" s="442">
        <v>3.5000000000000003E-2</v>
      </c>
      <c r="G204" s="442">
        <v>6.3E-2</v>
      </c>
      <c r="H204" s="442">
        <v>0.10299999999999999</v>
      </c>
      <c r="I204" s="442">
        <v>0.19600000000000001</v>
      </c>
      <c r="J204" s="442">
        <v>0.311</v>
      </c>
      <c r="K204" s="442">
        <v>0.47399999999999998</v>
      </c>
      <c r="L204" s="442">
        <v>0.56399999999999995</v>
      </c>
      <c r="M204" s="442">
        <v>0.76200000000000001</v>
      </c>
      <c r="N204" s="442">
        <v>0.85799999999999998</v>
      </c>
      <c r="O204" s="442">
        <v>0.92800000000000005</v>
      </c>
      <c r="P204" s="442">
        <v>1.038</v>
      </c>
      <c r="Q204" s="442">
        <v>1.08</v>
      </c>
      <c r="R204" s="442">
        <v>1.131</v>
      </c>
      <c r="S204" s="442">
        <v>1.1850000000000001</v>
      </c>
      <c r="T204" s="442">
        <v>1.224</v>
      </c>
      <c r="U204" s="442">
        <v>1.258</v>
      </c>
      <c r="V204" s="442">
        <v>1.4</v>
      </c>
      <c r="W204" s="442">
        <v>1.4410000000000001</v>
      </c>
      <c r="X204" s="442">
        <v>2</v>
      </c>
      <c r="Y204" s="444">
        <v>1000</v>
      </c>
    </row>
    <row r="205" spans="1:26" x14ac:dyDescent="0.25">
      <c r="A205" s="434" t="s">
        <v>34</v>
      </c>
      <c r="B205" s="443">
        <v>0</v>
      </c>
      <c r="C205" s="433">
        <v>168.643</v>
      </c>
      <c r="D205" s="433">
        <v>177.339</v>
      </c>
      <c r="E205" s="433">
        <v>177.86600000000001</v>
      </c>
      <c r="F205" s="433">
        <v>171.27799999999999</v>
      </c>
      <c r="G205" s="433">
        <v>157.839</v>
      </c>
      <c r="H205" s="433">
        <v>154.941</v>
      </c>
      <c r="I205" s="433">
        <v>148.88</v>
      </c>
      <c r="J205" s="433">
        <v>144.137</v>
      </c>
      <c r="K205" s="433">
        <v>138.07599999999999</v>
      </c>
      <c r="L205" s="433">
        <v>135.70500000000001</v>
      </c>
      <c r="M205" s="433">
        <v>125.955</v>
      </c>
      <c r="N205" s="433">
        <v>116.733</v>
      </c>
      <c r="O205" s="433">
        <v>101.71299999999999</v>
      </c>
      <c r="P205" s="433">
        <v>57.444000000000003</v>
      </c>
      <c r="Q205" s="433">
        <v>42.688000000000002</v>
      </c>
      <c r="R205" s="433">
        <v>31.884</v>
      </c>
      <c r="S205" s="433">
        <v>17.655000000000001</v>
      </c>
      <c r="T205" s="433">
        <v>9.4860000000000007</v>
      </c>
      <c r="U205" s="433">
        <v>5.27</v>
      </c>
      <c r="V205" s="433">
        <v>0.79100000000000004</v>
      </c>
      <c r="W205" s="433">
        <v>0</v>
      </c>
      <c r="X205" s="433">
        <f>W205</f>
        <v>0</v>
      </c>
      <c r="Y205" s="439">
        <v>0</v>
      </c>
    </row>
    <row r="206" spans="1:26" ht="13.8" thickBot="1" x14ac:dyDescent="0.3">
      <c r="A206" s="435" t="s">
        <v>117</v>
      </c>
      <c r="B206" s="429">
        <f t="shared" ref="B206:X206" si="71">(C205+B205)*(C204-B204)/2</f>
        <v>0.67457200000000006</v>
      </c>
      <c r="C206" s="430">
        <f t="shared" si="71"/>
        <v>0.86495499999999981</v>
      </c>
      <c r="D206" s="430">
        <f t="shared" si="71"/>
        <v>1.5984225000000001</v>
      </c>
      <c r="E206" s="430">
        <f t="shared" si="71"/>
        <v>2.2694360000000007</v>
      </c>
      <c r="F206" s="430">
        <f t="shared" si="71"/>
        <v>4.6076379999999988</v>
      </c>
      <c r="G206" s="430">
        <f t="shared" si="71"/>
        <v>6.2555999999999985</v>
      </c>
      <c r="H206" s="430">
        <f t="shared" si="71"/>
        <v>14.127676500000003</v>
      </c>
      <c r="I206" s="430">
        <f t="shared" si="71"/>
        <v>16.848477499999998</v>
      </c>
      <c r="J206" s="430">
        <f t="shared" si="71"/>
        <v>23.000359499999995</v>
      </c>
      <c r="K206" s="430">
        <f t="shared" si="71"/>
        <v>12.320144999999997</v>
      </c>
      <c r="L206" s="430">
        <f t="shared" si="71"/>
        <v>25.904340000000012</v>
      </c>
      <c r="M206" s="430">
        <f t="shared" si="71"/>
        <v>11.649023999999997</v>
      </c>
      <c r="N206" s="430">
        <f t="shared" si="71"/>
        <v>7.6456100000000067</v>
      </c>
      <c r="O206" s="430">
        <f t="shared" si="71"/>
        <v>8.7536349999999974</v>
      </c>
      <c r="P206" s="430">
        <f t="shared" si="71"/>
        <v>2.1027720000000021</v>
      </c>
      <c r="Q206" s="430">
        <f t="shared" si="71"/>
        <v>1.9015859999999976</v>
      </c>
      <c r="R206" s="430">
        <f t="shared" si="71"/>
        <v>1.3375530000000013</v>
      </c>
      <c r="S206" s="430">
        <f t="shared" si="71"/>
        <v>0.52924949999999904</v>
      </c>
      <c r="T206" s="430">
        <f t="shared" si="71"/>
        <v>0.25085200000000024</v>
      </c>
      <c r="U206" s="430">
        <f t="shared" si="71"/>
        <v>0.43033099999999969</v>
      </c>
      <c r="V206" s="430">
        <f t="shared" si="71"/>
        <v>1.621550000000006E-2</v>
      </c>
      <c r="W206" s="430">
        <f t="shared" si="71"/>
        <v>0</v>
      </c>
      <c r="X206" s="430">
        <f t="shared" si="71"/>
        <v>0</v>
      </c>
      <c r="Y206" s="424"/>
    </row>
    <row r="207" spans="1:26" ht="13.8" thickBot="1" x14ac:dyDescent="0.3">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6" ht="13.8" thickBot="1" x14ac:dyDescent="0.3">
      <c r="A208" s="416" t="s">
        <v>539</v>
      </c>
      <c r="B208" s="414">
        <f>ROW(A208)</f>
        <v>208</v>
      </c>
      <c r="C208" s="418" t="s">
        <v>116</v>
      </c>
      <c r="D208" s="408">
        <f>SUM(B211:Y211)</f>
        <v>139.423417</v>
      </c>
      <c r="E208" s="418" t="s">
        <v>115</v>
      </c>
      <c r="F208" s="409">
        <f>D208/g/J208</f>
        <v>158.62027745922524</v>
      </c>
      <c r="G208" s="418" t="s">
        <v>57</v>
      </c>
      <c r="H208" s="86">
        <v>0.19450000000000001</v>
      </c>
      <c r="I208" s="418" t="s">
        <v>272</v>
      </c>
      <c r="J208" s="410">
        <f>H208-L208</f>
        <v>8.9600000000000013E-2</v>
      </c>
      <c r="K208" s="418" t="s">
        <v>273</v>
      </c>
      <c r="L208" s="86">
        <v>0.10489999999999999</v>
      </c>
      <c r="M208" s="418" t="s">
        <v>58</v>
      </c>
      <c r="N208" s="87">
        <v>114</v>
      </c>
      <c r="O208" s="418" t="s">
        <v>60</v>
      </c>
      <c r="P208" s="87">
        <v>144</v>
      </c>
      <c r="Q208" s="418" t="s">
        <v>61</v>
      </c>
      <c r="R208" s="87">
        <v>228</v>
      </c>
      <c r="S208" s="418" t="s">
        <v>62</v>
      </c>
      <c r="T208" s="87">
        <v>24</v>
      </c>
      <c r="U208" s="418" t="s">
        <v>55</v>
      </c>
      <c r="V208" s="88" t="s">
        <v>120</v>
      </c>
      <c r="W208" s="547" t="s">
        <v>396</v>
      </c>
      <c r="X208" s="549">
        <v>1.3</v>
      </c>
      <c r="Y208" s="547" t="s">
        <v>395</v>
      </c>
      <c r="Z208" s="413">
        <v>12</v>
      </c>
    </row>
    <row r="209" spans="1:26" x14ac:dyDescent="0.25">
      <c r="A209" s="417" t="s">
        <v>33</v>
      </c>
      <c r="B209" s="441">
        <v>0</v>
      </c>
      <c r="C209" s="442">
        <v>1.0999999999999999E-2</v>
      </c>
      <c r="D209" s="442">
        <v>2.1999999999999999E-2</v>
      </c>
      <c r="E209" s="442">
        <v>4.5999999999999999E-2</v>
      </c>
      <c r="F209" s="442">
        <v>8.1000000000000003E-2</v>
      </c>
      <c r="G209" s="442">
        <v>0.219</v>
      </c>
      <c r="H209" s="442">
        <v>0.253</v>
      </c>
      <c r="I209" s="442">
        <v>0.27400000000000002</v>
      </c>
      <c r="J209" s="442">
        <v>0.30499999999999999</v>
      </c>
      <c r="K209" s="442">
        <v>0.41199999999999998</v>
      </c>
      <c r="L209" s="442">
        <v>0.78900000000000003</v>
      </c>
      <c r="M209" s="442">
        <v>0.89900000000000002</v>
      </c>
      <c r="N209" s="442">
        <v>0.95299999999999996</v>
      </c>
      <c r="O209" s="442">
        <v>0.999</v>
      </c>
      <c r="P209" s="442">
        <v>1.03</v>
      </c>
      <c r="Q209" s="442">
        <v>1.0569999999999999</v>
      </c>
      <c r="R209" s="442">
        <v>1.1020000000000001</v>
      </c>
      <c r="S209" s="442">
        <v>1.1539999999999999</v>
      </c>
      <c r="T209" s="442">
        <v>1.1970000000000001</v>
      </c>
      <c r="U209" s="442">
        <v>1.2769999999999999</v>
      </c>
      <c r="V209" s="442">
        <v>1.335</v>
      </c>
      <c r="W209" s="442">
        <v>1.4510000000000001</v>
      </c>
      <c r="X209" s="442">
        <v>2</v>
      </c>
      <c r="Y209" s="444">
        <v>1000</v>
      </c>
    </row>
    <row r="210" spans="1:26" x14ac:dyDescent="0.25">
      <c r="A210" s="434" t="s">
        <v>34</v>
      </c>
      <c r="B210" s="443">
        <v>0</v>
      </c>
      <c r="C210" s="433">
        <v>198.41800000000001</v>
      </c>
      <c r="D210" s="433">
        <v>221.83500000000001</v>
      </c>
      <c r="E210" s="433">
        <v>212.65799999999999</v>
      </c>
      <c r="F210" s="433">
        <v>218.35400000000001</v>
      </c>
      <c r="G210" s="433">
        <v>204.43</v>
      </c>
      <c r="H210" s="433">
        <v>195.886</v>
      </c>
      <c r="I210" s="433">
        <v>183.54400000000001</v>
      </c>
      <c r="J210" s="433">
        <v>88.290999999999997</v>
      </c>
      <c r="K210" s="433">
        <v>93.671000000000006</v>
      </c>
      <c r="L210" s="433">
        <v>93.986999999999995</v>
      </c>
      <c r="M210" s="433">
        <v>91.138999999999996</v>
      </c>
      <c r="N210" s="433">
        <v>89.873000000000005</v>
      </c>
      <c r="O210" s="433">
        <v>87.025000000000006</v>
      </c>
      <c r="P210" s="433">
        <v>81.328999999999994</v>
      </c>
      <c r="Q210" s="433">
        <v>69.936999999999998</v>
      </c>
      <c r="R210" s="433">
        <v>54.113999999999997</v>
      </c>
      <c r="S210" s="433">
        <v>42.405000000000001</v>
      </c>
      <c r="T210" s="433">
        <v>31.646000000000001</v>
      </c>
      <c r="U210" s="433">
        <v>17.088999999999999</v>
      </c>
      <c r="V210" s="433">
        <v>9.81</v>
      </c>
      <c r="W210" s="433">
        <v>0</v>
      </c>
      <c r="X210" s="433">
        <v>0</v>
      </c>
      <c r="Y210" s="439">
        <v>0</v>
      </c>
    </row>
    <row r="211" spans="1:26" ht="13.8" thickBot="1" x14ac:dyDescent="0.3">
      <c r="A211" s="435" t="s">
        <v>117</v>
      </c>
      <c r="B211" s="429">
        <f t="shared" ref="B211:X211" si="72">(C210+B210)*(C209-B209)/2</f>
        <v>1.091299</v>
      </c>
      <c r="C211" s="430">
        <f t="shared" si="72"/>
        <v>2.3113915</v>
      </c>
      <c r="D211" s="430">
        <f t="shared" si="72"/>
        <v>5.2139160000000002</v>
      </c>
      <c r="E211" s="430">
        <f t="shared" si="72"/>
        <v>7.5427100000000005</v>
      </c>
      <c r="F211" s="430">
        <f t="shared" si="72"/>
        <v>29.172096000000003</v>
      </c>
      <c r="G211" s="430">
        <f t="shared" si="72"/>
        <v>6.8053720000000011</v>
      </c>
      <c r="H211" s="430">
        <f t="shared" si="72"/>
        <v>3.9840150000000034</v>
      </c>
      <c r="I211" s="430">
        <f t="shared" si="72"/>
        <v>4.2134424999999966</v>
      </c>
      <c r="J211" s="430">
        <f t="shared" si="72"/>
        <v>9.7349669999999975</v>
      </c>
      <c r="K211" s="430">
        <f t="shared" si="72"/>
        <v>35.373533000000009</v>
      </c>
      <c r="L211" s="430">
        <f t="shared" si="72"/>
        <v>10.181929999999998</v>
      </c>
      <c r="M211" s="430">
        <f t="shared" si="72"/>
        <v>4.8873239999999942</v>
      </c>
      <c r="N211" s="430">
        <f t="shared" si="72"/>
        <v>4.068654000000004</v>
      </c>
      <c r="O211" s="430">
        <f t="shared" si="72"/>
        <v>2.6094870000000019</v>
      </c>
      <c r="P211" s="430">
        <f t="shared" si="72"/>
        <v>2.0420909999999934</v>
      </c>
      <c r="Q211" s="430">
        <f t="shared" si="72"/>
        <v>2.791147500000009</v>
      </c>
      <c r="R211" s="430">
        <f t="shared" si="72"/>
        <v>2.5094939999999917</v>
      </c>
      <c r="S211" s="430">
        <f t="shared" si="72"/>
        <v>1.5920965000000056</v>
      </c>
      <c r="T211" s="430">
        <f t="shared" si="72"/>
        <v>1.9493999999999962</v>
      </c>
      <c r="U211" s="430">
        <f t="shared" si="72"/>
        <v>0.78007100000000074</v>
      </c>
      <c r="V211" s="430">
        <f t="shared" si="72"/>
        <v>0.56898000000000049</v>
      </c>
      <c r="W211" s="430">
        <f t="shared" si="72"/>
        <v>0</v>
      </c>
      <c r="X211" s="430">
        <f t="shared" si="72"/>
        <v>0</v>
      </c>
      <c r="Y211" s="424"/>
    </row>
    <row r="212" spans="1:26" ht="13.8" thickBot="1" x14ac:dyDescent="0.3">
      <c r="A212" s="492" t="s">
        <v>317</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6" ht="13.8" thickBot="1" x14ac:dyDescent="0.3">
      <c r="A213" s="416" t="s">
        <v>377</v>
      </c>
      <c r="B213" s="414">
        <f>ROW(A213)</f>
        <v>213</v>
      </c>
      <c r="C213" s="418" t="s">
        <v>116</v>
      </c>
      <c r="D213" s="408">
        <f>SUM(B216:Y216)</f>
        <v>82.798500000000018</v>
      </c>
      <c r="E213" s="418" t="s">
        <v>115</v>
      </c>
      <c r="F213" s="409">
        <f>D213/g/J213</f>
        <v>131.87834480122325</v>
      </c>
      <c r="G213" s="418" t="s">
        <v>57</v>
      </c>
      <c r="H213" s="86">
        <v>0.152</v>
      </c>
      <c r="I213" s="418" t="s">
        <v>272</v>
      </c>
      <c r="J213" s="410">
        <f>H213-L213</f>
        <v>6.4000000000000001E-2</v>
      </c>
      <c r="K213" s="418" t="s">
        <v>273</v>
      </c>
      <c r="L213" s="86">
        <v>8.7999999999999995E-2</v>
      </c>
      <c r="M213" s="418" t="s">
        <v>58</v>
      </c>
      <c r="N213" s="87">
        <v>71</v>
      </c>
      <c r="O213" s="418" t="s">
        <v>60</v>
      </c>
      <c r="P213" s="87">
        <v>71</v>
      </c>
      <c r="Q213" s="418" t="s">
        <v>61</v>
      </c>
      <c r="R213" s="87">
        <v>142</v>
      </c>
      <c r="S213" s="418" t="s">
        <v>62</v>
      </c>
      <c r="T213" s="87">
        <v>29</v>
      </c>
      <c r="U213" s="418" t="s">
        <v>55</v>
      </c>
      <c r="V213" s="88" t="s">
        <v>120</v>
      </c>
      <c r="W213" s="547" t="s">
        <v>396</v>
      </c>
      <c r="X213" s="549">
        <v>0.96</v>
      </c>
      <c r="Y213" s="547" t="s">
        <v>395</v>
      </c>
      <c r="Z213" s="413">
        <v>11</v>
      </c>
    </row>
    <row r="214" spans="1:26" x14ac:dyDescent="0.25">
      <c r="A214" s="417" t="s">
        <v>33</v>
      </c>
      <c r="B214" s="441">
        <v>0</v>
      </c>
      <c r="C214" s="442">
        <v>0.02</v>
      </c>
      <c r="D214" s="442">
        <v>0.03</v>
      </c>
      <c r="E214" s="442">
        <v>0.04</v>
      </c>
      <c r="F214" s="442">
        <v>0.06</v>
      </c>
      <c r="G214" s="442">
        <v>0.08</v>
      </c>
      <c r="H214" s="442">
        <v>0.15</v>
      </c>
      <c r="I214" s="442">
        <v>0.18</v>
      </c>
      <c r="J214" s="442">
        <v>0.2</v>
      </c>
      <c r="K214" s="442">
        <v>0.3</v>
      </c>
      <c r="L214" s="442">
        <v>0.4</v>
      </c>
      <c r="M214" s="442">
        <v>0.5</v>
      </c>
      <c r="N214" s="442">
        <v>0.6</v>
      </c>
      <c r="O214" s="442">
        <v>0.7</v>
      </c>
      <c r="P214" s="442">
        <v>0.82</v>
      </c>
      <c r="Q214" s="442">
        <v>0.93</v>
      </c>
      <c r="R214" s="442">
        <v>1</v>
      </c>
      <c r="S214" s="442">
        <f t="shared" ref="S214:X215" si="73">R214</f>
        <v>1</v>
      </c>
      <c r="T214" s="442">
        <f t="shared" si="73"/>
        <v>1</v>
      </c>
      <c r="U214" s="442">
        <f t="shared" si="73"/>
        <v>1</v>
      </c>
      <c r="V214" s="442">
        <f t="shared" si="73"/>
        <v>1</v>
      </c>
      <c r="W214" s="442">
        <f t="shared" si="73"/>
        <v>1</v>
      </c>
      <c r="X214" s="442">
        <v>2</v>
      </c>
      <c r="Y214" s="444">
        <v>1000</v>
      </c>
    </row>
    <row r="215" spans="1:26" x14ac:dyDescent="0.25">
      <c r="A215" s="434" t="s">
        <v>34</v>
      </c>
      <c r="B215" s="443">
        <v>0</v>
      </c>
      <c r="C215" s="433">
        <v>41.9</v>
      </c>
      <c r="D215" s="433">
        <v>92.1</v>
      </c>
      <c r="E215" s="433">
        <v>116.7</v>
      </c>
      <c r="F215" s="433">
        <v>112.7</v>
      </c>
      <c r="G215" s="433">
        <v>82.7</v>
      </c>
      <c r="H215" s="433">
        <v>84.7</v>
      </c>
      <c r="I215" s="433">
        <v>86.2</v>
      </c>
      <c r="J215" s="433">
        <v>87.9</v>
      </c>
      <c r="K215" s="433">
        <v>90.9</v>
      </c>
      <c r="L215" s="433">
        <v>93.9</v>
      </c>
      <c r="M215" s="433">
        <v>95.3</v>
      </c>
      <c r="N215" s="433">
        <v>96.8</v>
      </c>
      <c r="O215" s="433">
        <v>97.6</v>
      </c>
      <c r="P215" s="433">
        <v>108.2</v>
      </c>
      <c r="Q215" s="433">
        <v>11</v>
      </c>
      <c r="R215" s="433">
        <v>0</v>
      </c>
      <c r="S215" s="433">
        <f t="shared" si="73"/>
        <v>0</v>
      </c>
      <c r="T215" s="433">
        <f t="shared" si="73"/>
        <v>0</v>
      </c>
      <c r="U215" s="433">
        <f t="shared" si="73"/>
        <v>0</v>
      </c>
      <c r="V215" s="433">
        <f t="shared" si="73"/>
        <v>0</v>
      </c>
      <c r="W215" s="433">
        <f t="shared" si="73"/>
        <v>0</v>
      </c>
      <c r="X215" s="433">
        <f t="shared" si="73"/>
        <v>0</v>
      </c>
      <c r="Y215" s="439">
        <v>0</v>
      </c>
    </row>
    <row r="216" spans="1:26" ht="13.8" thickBot="1" x14ac:dyDescent="0.3">
      <c r="A216" s="435" t="s">
        <v>117</v>
      </c>
      <c r="B216" s="429">
        <f t="shared" ref="B216:V216" si="74">(C215+B215)*(C214-B214)/2</f>
        <v>0.41899999999999998</v>
      </c>
      <c r="C216" s="430">
        <f t="shared" si="74"/>
        <v>0.66999999999999993</v>
      </c>
      <c r="D216" s="430">
        <f t="shared" si="74"/>
        <v>1.0440000000000003</v>
      </c>
      <c r="E216" s="430">
        <f t="shared" si="74"/>
        <v>2.2939999999999996</v>
      </c>
      <c r="F216" s="430">
        <f t="shared" si="74"/>
        <v>1.9540000000000004</v>
      </c>
      <c r="G216" s="430">
        <f t="shared" si="74"/>
        <v>5.859</v>
      </c>
      <c r="H216" s="430">
        <f t="shared" si="74"/>
        <v>2.5634999999999999</v>
      </c>
      <c r="I216" s="430">
        <f t="shared" si="74"/>
        <v>1.7410000000000019</v>
      </c>
      <c r="J216" s="430">
        <f>(K215+J215)*(K214-J214)/2</f>
        <v>8.9399999999999977</v>
      </c>
      <c r="K216" s="430">
        <f t="shared" si="74"/>
        <v>9.2400000000000038</v>
      </c>
      <c r="L216" s="430">
        <f t="shared" si="74"/>
        <v>9.4599999999999973</v>
      </c>
      <c r="M216" s="430">
        <f t="shared" si="74"/>
        <v>9.6049999999999969</v>
      </c>
      <c r="N216" s="430">
        <f t="shared" si="74"/>
        <v>9.7199999999999971</v>
      </c>
      <c r="O216" s="430">
        <f t="shared" si="74"/>
        <v>12.348000000000001</v>
      </c>
      <c r="P216" s="430">
        <f t="shared" si="74"/>
        <v>6.5560000000000063</v>
      </c>
      <c r="Q216" s="430">
        <f t="shared" si="74"/>
        <v>0.38499999999999973</v>
      </c>
      <c r="R216" s="430">
        <f t="shared" si="74"/>
        <v>0</v>
      </c>
      <c r="S216" s="430">
        <f>(T215+S215)*(T214-S214)/2</f>
        <v>0</v>
      </c>
      <c r="T216" s="430">
        <f t="shared" si="74"/>
        <v>0</v>
      </c>
      <c r="U216" s="430">
        <f t="shared" si="74"/>
        <v>0</v>
      </c>
      <c r="V216" s="430">
        <f t="shared" si="74"/>
        <v>0</v>
      </c>
      <c r="W216" s="430">
        <f>(X215+W215)*(X214-W214)/2</f>
        <v>0</v>
      </c>
      <c r="X216" s="430">
        <f>(Y215+X215)*(Y214-X214)/2</f>
        <v>0</v>
      </c>
      <c r="Y216" s="424"/>
    </row>
    <row r="217" spans="1:26" ht="13.8" thickBot="1" x14ac:dyDescent="0.3">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6" ht="13.8" thickBot="1" x14ac:dyDescent="0.3">
      <c r="A218" s="416" t="s">
        <v>378</v>
      </c>
      <c r="B218" s="414">
        <f>ROW(A218)</f>
        <v>218</v>
      </c>
      <c r="C218" s="418" t="s">
        <v>116</v>
      </c>
      <c r="D218" s="408">
        <f>SUM(B221:Y221)</f>
        <v>98.257101163036367</v>
      </c>
      <c r="E218" s="418" t="s">
        <v>115</v>
      </c>
      <c r="F218" s="409">
        <f>D218/g/J218</f>
        <v>177.58890761893778</v>
      </c>
      <c r="G218" s="418" t="s">
        <v>57</v>
      </c>
      <c r="H218" s="86">
        <v>0.14319999999999999</v>
      </c>
      <c r="I218" s="418" t="s">
        <v>272</v>
      </c>
      <c r="J218" s="410">
        <f>H218-L218</f>
        <v>5.6399999999999992E-2</v>
      </c>
      <c r="K218" s="418" t="s">
        <v>273</v>
      </c>
      <c r="L218" s="86">
        <v>8.6800000000000002E-2</v>
      </c>
      <c r="M218" s="418" t="s">
        <v>58</v>
      </c>
      <c r="N218" s="87">
        <v>71</v>
      </c>
      <c r="O218" s="418" t="s">
        <v>60</v>
      </c>
      <c r="P218" s="87">
        <v>71</v>
      </c>
      <c r="Q218" s="418" t="s">
        <v>61</v>
      </c>
      <c r="R218" s="87">
        <v>142</v>
      </c>
      <c r="S218" s="418" t="s">
        <v>62</v>
      </c>
      <c r="T218" s="87">
        <v>29</v>
      </c>
      <c r="U218" s="418" t="s">
        <v>55</v>
      </c>
      <c r="V218" s="88" t="s">
        <v>120</v>
      </c>
      <c r="W218" s="547" t="s">
        <v>396</v>
      </c>
      <c r="X218" s="549">
        <v>1.1499999999999999</v>
      </c>
      <c r="Y218" s="547" t="s">
        <v>395</v>
      </c>
      <c r="Z218" s="413">
        <v>14</v>
      </c>
    </row>
    <row r="219" spans="1:26" x14ac:dyDescent="0.25">
      <c r="A219" s="417" t="s">
        <v>33</v>
      </c>
      <c r="B219" s="441">
        <v>0</v>
      </c>
      <c r="C219" s="442">
        <v>1.4999999999999999E-2</v>
      </c>
      <c r="D219" s="442">
        <v>0.03</v>
      </c>
      <c r="E219" s="442">
        <v>4.4999999999999998E-2</v>
      </c>
      <c r="F219" s="442">
        <v>0.06</v>
      </c>
      <c r="G219" s="442">
        <v>7.4999999999999997E-2</v>
      </c>
      <c r="H219" s="442">
        <v>0.09</v>
      </c>
      <c r="I219" s="442">
        <v>0.105</v>
      </c>
      <c r="J219" s="442">
        <v>0.12</v>
      </c>
      <c r="K219" s="442">
        <v>0.18</v>
      </c>
      <c r="L219" s="442">
        <v>0.24</v>
      </c>
      <c r="M219" s="442">
        <v>0.3</v>
      </c>
      <c r="N219" s="442">
        <v>0.48</v>
      </c>
      <c r="O219" s="442">
        <v>0.6</v>
      </c>
      <c r="P219" s="442">
        <v>0.66</v>
      </c>
      <c r="Q219" s="442">
        <v>0.72</v>
      </c>
      <c r="R219" s="442">
        <v>0.78</v>
      </c>
      <c r="S219" s="442">
        <v>0.84</v>
      </c>
      <c r="T219" s="442">
        <v>0.9</v>
      </c>
      <c r="U219" s="442">
        <v>0.96</v>
      </c>
      <c r="V219" s="442">
        <v>1.0349999999999999</v>
      </c>
      <c r="W219" s="442">
        <v>1.2</v>
      </c>
      <c r="X219" s="442">
        <v>2</v>
      </c>
      <c r="Y219" s="444">
        <v>1000</v>
      </c>
    </row>
    <row r="220" spans="1:26" x14ac:dyDescent="0.25">
      <c r="A220" s="434" t="s">
        <v>34</v>
      </c>
      <c r="B220" s="443">
        <v>0</v>
      </c>
      <c r="C220" s="431">
        <v>99.328788958822486</v>
      </c>
      <c r="D220" s="431">
        <v>109.07039432469</v>
      </c>
      <c r="E220" s="431">
        <v>65.255411286427503</v>
      </c>
      <c r="F220" s="431">
        <v>67.568486533117493</v>
      </c>
      <c r="G220" s="431">
        <v>73.929443461515007</v>
      </c>
      <c r="H220" s="431">
        <v>74.329783408057494</v>
      </c>
      <c r="I220" s="431">
        <v>78.1552540083525</v>
      </c>
      <c r="J220" s="431">
        <v>78.600076171177506</v>
      </c>
      <c r="K220" s="431">
        <v>82.203135690059995</v>
      </c>
      <c r="L220" s="431">
        <v>84.516210936749999</v>
      </c>
      <c r="M220" s="431">
        <v>88.51961040217499</v>
      </c>
      <c r="N220" s="431">
        <v>95.102978411984992</v>
      </c>
      <c r="O220" s="431">
        <v>95.547800574809997</v>
      </c>
      <c r="P220" s="431">
        <v>94.480227384029988</v>
      </c>
      <c r="Q220" s="431">
        <v>92.122669921057494</v>
      </c>
      <c r="R220" s="431">
        <v>90.743721216299988</v>
      </c>
      <c r="S220" s="431">
        <v>88.964432564999996</v>
      </c>
      <c r="T220" s="431">
        <v>85.405855262399996</v>
      </c>
      <c r="U220" s="431">
        <v>83.448637745970004</v>
      </c>
      <c r="V220" s="431">
        <v>88.074788239349999</v>
      </c>
      <c r="W220" s="431">
        <v>0</v>
      </c>
      <c r="X220" s="433">
        <v>0</v>
      </c>
      <c r="Y220" s="439">
        <v>0</v>
      </c>
    </row>
    <row r="221" spans="1:26" ht="13.8" thickBot="1" x14ac:dyDescent="0.3">
      <c r="A221" s="435" t="s">
        <v>117</v>
      </c>
      <c r="B221" s="429">
        <f t="shared" ref="B221:V221" si="75">(C220+B220)*(C219-B219)/2</f>
        <v>0.74496591719116867</v>
      </c>
      <c r="C221" s="430">
        <f t="shared" si="75"/>
        <v>1.5629938746263436</v>
      </c>
      <c r="D221" s="430">
        <f t="shared" si="75"/>
        <v>1.3074435420833814</v>
      </c>
      <c r="E221" s="430">
        <f t="shared" si="75"/>
        <v>0.99617923364658734</v>
      </c>
      <c r="F221" s="430">
        <f t="shared" si="75"/>
        <v>1.0612344749597438</v>
      </c>
      <c r="G221" s="430">
        <f t="shared" si="75"/>
        <v>1.1119442015217937</v>
      </c>
      <c r="H221" s="430">
        <f t="shared" si="75"/>
        <v>1.1436377806230749</v>
      </c>
      <c r="I221" s="430">
        <f t="shared" si="75"/>
        <v>1.175664976346475</v>
      </c>
      <c r="J221" s="430">
        <f>(K220+J220)*(K219-J219)/2</f>
        <v>4.824096355837125</v>
      </c>
      <c r="K221" s="430">
        <f t="shared" si="75"/>
        <v>5.0015803988042995</v>
      </c>
      <c r="L221" s="430">
        <f t="shared" si="75"/>
        <v>5.1910746401677494</v>
      </c>
      <c r="M221" s="430">
        <f t="shared" si="75"/>
        <v>16.526032993274399</v>
      </c>
      <c r="N221" s="430">
        <f t="shared" si="75"/>
        <v>11.439046739207699</v>
      </c>
      <c r="O221" s="430">
        <f t="shared" si="75"/>
        <v>5.7008408387652043</v>
      </c>
      <c r="P221" s="430">
        <f t="shared" si="75"/>
        <v>5.5980869191526192</v>
      </c>
      <c r="Q221" s="430">
        <f t="shared" si="75"/>
        <v>5.4859917341207289</v>
      </c>
      <c r="R221" s="430">
        <f t="shared" si="75"/>
        <v>5.3912446134389942</v>
      </c>
      <c r="S221" s="430">
        <f>(T220+S220)*(T219-S219)/2</f>
        <v>5.2311086348220037</v>
      </c>
      <c r="T221" s="430">
        <f t="shared" si="75"/>
        <v>5.0656347902510959</v>
      </c>
      <c r="U221" s="430">
        <f t="shared" si="75"/>
        <v>6.4321284744494962</v>
      </c>
      <c r="V221" s="430">
        <f t="shared" si="75"/>
        <v>7.2661700297463767</v>
      </c>
      <c r="W221" s="430">
        <f>(X220+W220)*(X219-W219)/2</f>
        <v>0</v>
      </c>
      <c r="X221" s="430">
        <f>(Y220+X220)*(Y219-X219)/2</f>
        <v>0</v>
      </c>
      <c r="Y221" s="424"/>
    </row>
    <row r="222" spans="1:26" ht="13.8" thickBot="1" x14ac:dyDescent="0.3">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6" ht="13.8" thickBot="1" x14ac:dyDescent="0.3">
      <c r="A223" s="416" t="s">
        <v>379</v>
      </c>
      <c r="B223" s="414">
        <f>ROW(A223)</f>
        <v>223</v>
      </c>
      <c r="C223" s="418" t="s">
        <v>116</v>
      </c>
      <c r="D223" s="408">
        <f>SUM(B226:Y226)</f>
        <v>109.60639850000001</v>
      </c>
      <c r="E223" s="418" t="s">
        <v>115</v>
      </c>
      <c r="F223" s="409">
        <f>D223/g/J223</f>
        <v>194.31174666489383</v>
      </c>
      <c r="G223" s="418" t="s">
        <v>57</v>
      </c>
      <c r="H223" s="86">
        <v>0.14130000000000001</v>
      </c>
      <c r="I223" s="418" t="s">
        <v>272</v>
      </c>
      <c r="J223" s="410">
        <f>H223-L223</f>
        <v>5.7500000000000009E-2</v>
      </c>
      <c r="K223" s="418" t="s">
        <v>273</v>
      </c>
      <c r="L223" s="86">
        <v>8.3799999999999999E-2</v>
      </c>
      <c r="M223" s="418" t="s">
        <v>58</v>
      </c>
      <c r="N223" s="87">
        <v>71</v>
      </c>
      <c r="O223" s="418" t="s">
        <v>60</v>
      </c>
      <c r="P223" s="87">
        <v>71</v>
      </c>
      <c r="Q223" s="418" t="s">
        <v>61</v>
      </c>
      <c r="R223" s="87">
        <v>142</v>
      </c>
      <c r="S223" s="418" t="s">
        <v>62</v>
      </c>
      <c r="T223" s="87">
        <v>29</v>
      </c>
      <c r="U223" s="418" t="s">
        <v>55</v>
      </c>
      <c r="V223" s="88" t="s">
        <v>403</v>
      </c>
      <c r="W223" s="547" t="s">
        <v>396</v>
      </c>
      <c r="X223" s="549">
        <v>0.45</v>
      </c>
      <c r="Y223" s="547" t="s">
        <v>395</v>
      </c>
      <c r="Z223" s="413">
        <v>14</v>
      </c>
    </row>
    <row r="224" spans="1:26" x14ac:dyDescent="0.25">
      <c r="A224" s="417" t="s">
        <v>33</v>
      </c>
      <c r="B224" s="441">
        <v>0</v>
      </c>
      <c r="C224" s="442">
        <v>6.0000000000000001E-3</v>
      </c>
      <c r="D224" s="442">
        <v>1.0999999999999999E-2</v>
      </c>
      <c r="E224" s="442">
        <v>1.6E-2</v>
      </c>
      <c r="F224" s="442">
        <v>3.1E-2</v>
      </c>
      <c r="G224" s="442">
        <v>7.4999999999999997E-2</v>
      </c>
      <c r="H224" s="442">
        <v>0.122</v>
      </c>
      <c r="I224" s="442">
        <v>0.216</v>
      </c>
      <c r="J224" s="442">
        <v>0.25</v>
      </c>
      <c r="K224" s="442">
        <v>0.28699999999999998</v>
      </c>
      <c r="L224" s="442">
        <v>0.35399999999999998</v>
      </c>
      <c r="M224" s="442">
        <v>0.374</v>
      </c>
      <c r="N224" s="442">
        <v>0.4</v>
      </c>
      <c r="O224" s="442">
        <v>0.41299999999999998</v>
      </c>
      <c r="P224" s="442">
        <v>0.42</v>
      </c>
      <c r="Q224" s="442">
        <v>0.433</v>
      </c>
      <c r="R224" s="442">
        <v>0.44500000000000001</v>
      </c>
      <c r="S224" s="442">
        <v>0.45400000000000001</v>
      </c>
      <c r="T224" s="442">
        <f t="shared" ref="T224:X225" si="76">S224</f>
        <v>0.45400000000000001</v>
      </c>
      <c r="U224" s="442">
        <f t="shared" si="76"/>
        <v>0.45400000000000001</v>
      </c>
      <c r="V224" s="442">
        <f t="shared" si="76"/>
        <v>0.45400000000000001</v>
      </c>
      <c r="W224" s="442">
        <f t="shared" si="76"/>
        <v>0.45400000000000001</v>
      </c>
      <c r="X224" s="442">
        <v>2</v>
      </c>
      <c r="Y224" s="444">
        <v>1000</v>
      </c>
    </row>
    <row r="225" spans="1:26" x14ac:dyDescent="0.25">
      <c r="A225" s="434" t="s">
        <v>34</v>
      </c>
      <c r="B225" s="443">
        <v>0</v>
      </c>
      <c r="C225" s="433">
        <v>151.62100000000001</v>
      </c>
      <c r="D225" s="433">
        <v>198.07900000000001</v>
      </c>
      <c r="E225" s="433">
        <v>203.12100000000001</v>
      </c>
      <c r="F225" s="433">
        <v>201.68100000000001</v>
      </c>
      <c r="G225" s="433">
        <v>226.17</v>
      </c>
      <c r="H225" s="433">
        <v>250.3</v>
      </c>
      <c r="I225" s="433">
        <v>280.19200000000001</v>
      </c>
      <c r="J225" s="433">
        <v>287.03500000000003</v>
      </c>
      <c r="K225" s="433">
        <v>284.87400000000002</v>
      </c>
      <c r="L225" s="433">
        <v>269.74799999999999</v>
      </c>
      <c r="M225" s="433">
        <v>258.58300000000003</v>
      </c>
      <c r="N225" s="433">
        <v>233.37299999999999</v>
      </c>
      <c r="O225" s="433">
        <v>234.09399999999999</v>
      </c>
      <c r="P225" s="433">
        <v>227.61099999999999</v>
      </c>
      <c r="Q225" s="433">
        <v>137.935</v>
      </c>
      <c r="R225" s="433">
        <v>33.853999999999999</v>
      </c>
      <c r="S225" s="433">
        <v>0</v>
      </c>
      <c r="T225" s="433">
        <f t="shared" si="76"/>
        <v>0</v>
      </c>
      <c r="U225" s="433">
        <f t="shared" si="76"/>
        <v>0</v>
      </c>
      <c r="V225" s="433">
        <f t="shared" si="76"/>
        <v>0</v>
      </c>
      <c r="W225" s="433">
        <f t="shared" si="76"/>
        <v>0</v>
      </c>
      <c r="X225" s="433">
        <f t="shared" si="76"/>
        <v>0</v>
      </c>
      <c r="Y225" s="439">
        <v>0</v>
      </c>
    </row>
    <row r="226" spans="1:26" ht="13.8" thickBot="1" x14ac:dyDescent="0.3">
      <c r="A226" s="435" t="s">
        <v>117</v>
      </c>
      <c r="B226" s="429">
        <f t="shared" ref="B226:X226" si="77">(C225+B225)*(C224-B224)/2</f>
        <v>0.45486300000000002</v>
      </c>
      <c r="C226" s="430">
        <f t="shared" si="77"/>
        <v>0.87424999999999997</v>
      </c>
      <c r="D226" s="430">
        <f t="shared" si="77"/>
        <v>1.0030000000000003</v>
      </c>
      <c r="E226" s="430">
        <f t="shared" si="77"/>
        <v>3.0360149999999999</v>
      </c>
      <c r="F226" s="430">
        <f t="shared" si="77"/>
        <v>9.4127219999999987</v>
      </c>
      <c r="G226" s="430">
        <f t="shared" si="77"/>
        <v>11.197045000000001</v>
      </c>
      <c r="H226" s="430">
        <f t="shared" si="77"/>
        <v>24.933123999999999</v>
      </c>
      <c r="I226" s="430">
        <f t="shared" si="77"/>
        <v>9.6428590000000014</v>
      </c>
      <c r="J226" s="430">
        <f t="shared" si="77"/>
        <v>10.580316499999995</v>
      </c>
      <c r="K226" s="430">
        <f t="shared" si="77"/>
        <v>18.579837000000005</v>
      </c>
      <c r="L226" s="430">
        <f t="shared" si="77"/>
        <v>5.2833100000000046</v>
      </c>
      <c r="M226" s="430">
        <f t="shared" si="77"/>
        <v>6.3954280000000061</v>
      </c>
      <c r="N226" s="430">
        <f t="shared" si="77"/>
        <v>3.0385354999999898</v>
      </c>
      <c r="O226" s="430">
        <f t="shared" si="77"/>
        <v>1.6159675000000013</v>
      </c>
      <c r="P226" s="430">
        <f t="shared" si="77"/>
        <v>2.3760490000000019</v>
      </c>
      <c r="Q226" s="430">
        <f t="shared" si="77"/>
        <v>1.0307340000000009</v>
      </c>
      <c r="R226" s="430">
        <f t="shared" si="77"/>
        <v>0.15234300000000014</v>
      </c>
      <c r="S226" s="430">
        <f t="shared" si="77"/>
        <v>0</v>
      </c>
      <c r="T226" s="430">
        <f t="shared" si="77"/>
        <v>0</v>
      </c>
      <c r="U226" s="430">
        <f t="shared" si="77"/>
        <v>0</v>
      </c>
      <c r="V226" s="430">
        <f t="shared" si="77"/>
        <v>0</v>
      </c>
      <c r="W226" s="430">
        <f t="shared" si="77"/>
        <v>0</v>
      </c>
      <c r="X226" s="430">
        <f t="shared" si="77"/>
        <v>0</v>
      </c>
      <c r="Y226" s="424"/>
    </row>
    <row r="227" spans="1:26" ht="13.8" thickBot="1" x14ac:dyDescent="0.3">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6" ht="13.8" thickBot="1" x14ac:dyDescent="0.3">
      <c r="A228" s="416" t="s">
        <v>380</v>
      </c>
      <c r="B228" s="414">
        <f>ROW(A228)</f>
        <v>228</v>
      </c>
      <c r="C228" s="418" t="s">
        <v>116</v>
      </c>
      <c r="D228" s="408">
        <f>SUM(B231:Y231)</f>
        <v>115.63</v>
      </c>
      <c r="E228" s="418" t="s">
        <v>115</v>
      </c>
      <c r="F228" s="409">
        <f>D228/g/J228</f>
        <v>199.77884897804037</v>
      </c>
      <c r="G228" s="418" t="s">
        <v>57</v>
      </c>
      <c r="H228" s="86">
        <v>0.14499999999999999</v>
      </c>
      <c r="I228" s="418" t="s">
        <v>272</v>
      </c>
      <c r="J228" s="410">
        <f>H228-L228</f>
        <v>5.8999999999999997E-2</v>
      </c>
      <c r="K228" s="418" t="s">
        <v>273</v>
      </c>
      <c r="L228" s="86">
        <v>8.5999999999999993E-2</v>
      </c>
      <c r="M228" s="418" t="s">
        <v>58</v>
      </c>
      <c r="N228" s="87">
        <v>71</v>
      </c>
      <c r="O228" s="418" t="s">
        <v>60</v>
      </c>
      <c r="P228" s="87">
        <v>71</v>
      </c>
      <c r="Q228" s="418" t="s">
        <v>61</v>
      </c>
      <c r="R228" s="87">
        <v>142</v>
      </c>
      <c r="S228" s="418" t="s">
        <v>62</v>
      </c>
      <c r="T228" s="87">
        <v>29</v>
      </c>
      <c r="U228" s="418" t="s">
        <v>55</v>
      </c>
      <c r="V228" s="88" t="s">
        <v>402</v>
      </c>
      <c r="W228" s="547" t="s">
        <v>396</v>
      </c>
      <c r="X228" s="549">
        <v>0.93</v>
      </c>
      <c r="Y228" s="547" t="s">
        <v>395</v>
      </c>
      <c r="Z228" s="413">
        <v>13</v>
      </c>
    </row>
    <row r="229" spans="1:26" x14ac:dyDescent="0.25">
      <c r="A229" s="417" t="s">
        <v>33</v>
      </c>
      <c r="B229" s="441">
        <v>0</v>
      </c>
      <c r="C229" s="442">
        <v>0.01</v>
      </c>
      <c r="D229" s="442">
        <v>0.02</v>
      </c>
      <c r="E229" s="442">
        <v>0.03</v>
      </c>
      <c r="F229" s="442">
        <v>0.04</v>
      </c>
      <c r="G229" s="442">
        <v>0.05</v>
      </c>
      <c r="H229" s="442">
        <v>0.1</v>
      </c>
      <c r="I229" s="442">
        <v>0.2</v>
      </c>
      <c r="J229" s="442">
        <v>0.3</v>
      </c>
      <c r="K229" s="442">
        <v>0.4</v>
      </c>
      <c r="L229" s="442">
        <v>0.6</v>
      </c>
      <c r="M229" s="442">
        <v>0.75</v>
      </c>
      <c r="N229" s="442">
        <v>0.81</v>
      </c>
      <c r="O229" s="442">
        <v>0.86</v>
      </c>
      <c r="P229" s="442">
        <v>0.9</v>
      </c>
      <c r="Q229" s="442">
        <v>0.95</v>
      </c>
      <c r="R229" s="442">
        <v>1</v>
      </c>
      <c r="S229" s="442">
        <v>1</v>
      </c>
      <c r="T229" s="442">
        <v>1</v>
      </c>
      <c r="U229" s="442">
        <v>1</v>
      </c>
      <c r="V229" s="442">
        <v>1</v>
      </c>
      <c r="W229" s="442">
        <v>1</v>
      </c>
      <c r="X229" s="442">
        <v>2</v>
      </c>
      <c r="Y229" s="444">
        <v>1000</v>
      </c>
    </row>
    <row r="230" spans="1:26" x14ac:dyDescent="0.25">
      <c r="A230" s="434" t="s">
        <v>34</v>
      </c>
      <c r="B230" s="443">
        <v>0</v>
      </c>
      <c r="C230" s="431">
        <v>55</v>
      </c>
      <c r="D230" s="431">
        <v>168</v>
      </c>
      <c r="E230" s="431">
        <v>157</v>
      </c>
      <c r="F230" s="431">
        <v>148</v>
      </c>
      <c r="G230" s="431">
        <v>125</v>
      </c>
      <c r="H230" s="431">
        <v>135</v>
      </c>
      <c r="I230" s="431">
        <v>141</v>
      </c>
      <c r="J230" s="431">
        <v>142</v>
      </c>
      <c r="K230" s="431">
        <v>141</v>
      </c>
      <c r="L230" s="431">
        <v>133</v>
      </c>
      <c r="M230" s="431">
        <v>127</v>
      </c>
      <c r="N230" s="431">
        <v>128</v>
      </c>
      <c r="O230" s="431">
        <v>60</v>
      </c>
      <c r="P230" s="431">
        <v>15</v>
      </c>
      <c r="Q230" s="431">
        <v>0</v>
      </c>
      <c r="R230" s="431">
        <v>0</v>
      </c>
      <c r="S230" s="431">
        <v>0</v>
      </c>
      <c r="T230" s="431">
        <v>0</v>
      </c>
      <c r="U230" s="431">
        <v>0</v>
      </c>
      <c r="V230" s="431">
        <v>0</v>
      </c>
      <c r="W230" s="431">
        <v>0</v>
      </c>
      <c r="X230" s="433">
        <v>0</v>
      </c>
      <c r="Y230" s="439">
        <v>0</v>
      </c>
    </row>
    <row r="231" spans="1:26" ht="13.8" thickBot="1" x14ac:dyDescent="0.3">
      <c r="A231" s="435" t="s">
        <v>117</v>
      </c>
      <c r="B231" s="429">
        <f t="shared" ref="B231:X231" si="78">(C230+B230)*(C229-B229)/2</f>
        <v>0.27500000000000002</v>
      </c>
      <c r="C231" s="430">
        <f t="shared" si="78"/>
        <v>1.115</v>
      </c>
      <c r="D231" s="430">
        <f t="shared" si="78"/>
        <v>1.6249999999999998</v>
      </c>
      <c r="E231" s="430">
        <f t="shared" si="78"/>
        <v>1.5250000000000004</v>
      </c>
      <c r="F231" s="430">
        <f t="shared" si="78"/>
        <v>1.3650000000000002</v>
      </c>
      <c r="G231" s="430">
        <f t="shared" si="78"/>
        <v>6.5</v>
      </c>
      <c r="H231" s="430">
        <f t="shared" si="78"/>
        <v>13.8</v>
      </c>
      <c r="I231" s="430">
        <f t="shared" si="78"/>
        <v>14.149999999999997</v>
      </c>
      <c r="J231" s="430">
        <f t="shared" si="78"/>
        <v>14.150000000000004</v>
      </c>
      <c r="K231" s="430">
        <f t="shared" si="78"/>
        <v>27.399999999999995</v>
      </c>
      <c r="L231" s="430">
        <f t="shared" si="78"/>
        <v>19.500000000000004</v>
      </c>
      <c r="M231" s="430">
        <f t="shared" si="78"/>
        <v>7.6500000000000066</v>
      </c>
      <c r="N231" s="430">
        <f t="shared" si="78"/>
        <v>4.699999999999994</v>
      </c>
      <c r="O231" s="430">
        <f t="shared" si="78"/>
        <v>1.5000000000000013</v>
      </c>
      <c r="P231" s="430">
        <f t="shared" si="78"/>
        <v>0.3749999999999995</v>
      </c>
      <c r="Q231" s="430">
        <f t="shared" si="78"/>
        <v>0</v>
      </c>
      <c r="R231" s="430">
        <f t="shared" si="78"/>
        <v>0</v>
      </c>
      <c r="S231" s="430">
        <f t="shared" si="78"/>
        <v>0</v>
      </c>
      <c r="T231" s="430">
        <f t="shared" si="78"/>
        <v>0</v>
      </c>
      <c r="U231" s="430">
        <f t="shared" si="78"/>
        <v>0</v>
      </c>
      <c r="V231" s="430">
        <f t="shared" si="78"/>
        <v>0</v>
      </c>
      <c r="W231" s="430">
        <f t="shared" si="78"/>
        <v>0</v>
      </c>
      <c r="X231" s="430">
        <f t="shared" si="78"/>
        <v>0</v>
      </c>
      <c r="Y231" s="424"/>
    </row>
    <row r="232" spans="1:26" ht="13.8" thickBot="1" x14ac:dyDescent="0.3">
      <c r="A232" s="492" t="s">
        <v>388</v>
      </c>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6" ht="13.8" thickBot="1" x14ac:dyDescent="0.3">
      <c r="A233" s="416" t="s">
        <v>389</v>
      </c>
      <c r="B233" s="414">
        <f>ROW(A233)</f>
        <v>233</v>
      </c>
      <c r="C233" s="418" t="s">
        <v>116</v>
      </c>
      <c r="D233" s="408">
        <f>SUM(B236:Y236)</f>
        <v>115.63</v>
      </c>
      <c r="E233" s="418" t="s">
        <v>115</v>
      </c>
      <c r="F233" s="409">
        <f>D233/g/J233</f>
        <v>125.39310733728064</v>
      </c>
      <c r="G233" s="418" t="s">
        <v>57</v>
      </c>
      <c r="H233" s="86">
        <v>0.2</v>
      </c>
      <c r="I233" s="418" t="s">
        <v>272</v>
      </c>
      <c r="J233" s="410">
        <f>H233-L233</f>
        <v>9.4000000000000014E-2</v>
      </c>
      <c r="K233" s="418" t="s">
        <v>273</v>
      </c>
      <c r="L233" s="86">
        <v>0.106</v>
      </c>
      <c r="M233" s="418" t="s">
        <v>58</v>
      </c>
      <c r="N233" s="87">
        <v>93</v>
      </c>
      <c r="O233" s="418" t="s">
        <v>60</v>
      </c>
      <c r="P233" s="87">
        <v>93</v>
      </c>
      <c r="Q233" s="418" t="s">
        <v>61</v>
      </c>
      <c r="R233" s="87">
        <v>187</v>
      </c>
      <c r="S233" s="418" t="s">
        <v>62</v>
      </c>
      <c r="T233" s="87">
        <v>29</v>
      </c>
      <c r="U233" s="418" t="s">
        <v>55</v>
      </c>
      <c r="V233" s="88" t="s">
        <v>120</v>
      </c>
      <c r="W233" s="547" t="s">
        <v>396</v>
      </c>
      <c r="X233" s="549">
        <v>0.96</v>
      </c>
      <c r="Y233" s="547" t="s">
        <v>395</v>
      </c>
      <c r="Z233" s="413">
        <v>14</v>
      </c>
    </row>
    <row r="234" spans="1:26" x14ac:dyDescent="0.25">
      <c r="A234" s="417" t="s">
        <v>33</v>
      </c>
      <c r="B234" s="441">
        <v>0</v>
      </c>
      <c r="C234" s="442">
        <v>0.01</v>
      </c>
      <c r="D234" s="442">
        <v>0.02</v>
      </c>
      <c r="E234" s="442">
        <v>0.03</v>
      </c>
      <c r="F234" s="442">
        <v>0.04</v>
      </c>
      <c r="G234" s="442">
        <v>0.05</v>
      </c>
      <c r="H234" s="442">
        <v>0.1</v>
      </c>
      <c r="I234" s="442">
        <v>0.2</v>
      </c>
      <c r="J234" s="442">
        <v>0.3</v>
      </c>
      <c r="K234" s="442">
        <v>0.4</v>
      </c>
      <c r="L234" s="442">
        <v>0.6</v>
      </c>
      <c r="M234" s="442">
        <v>0.75</v>
      </c>
      <c r="N234" s="442">
        <v>0.81</v>
      </c>
      <c r="O234" s="442">
        <v>0.86</v>
      </c>
      <c r="P234" s="442">
        <v>0.9</v>
      </c>
      <c r="Q234" s="442">
        <v>0.95</v>
      </c>
      <c r="R234" s="442">
        <v>1</v>
      </c>
      <c r="S234" s="442">
        <f t="shared" ref="S234:X235" si="79">R234</f>
        <v>1</v>
      </c>
      <c r="T234" s="442">
        <f t="shared" si="79"/>
        <v>1</v>
      </c>
      <c r="U234" s="442">
        <f t="shared" si="79"/>
        <v>1</v>
      </c>
      <c r="V234" s="442">
        <f t="shared" si="79"/>
        <v>1</v>
      </c>
      <c r="W234" s="442">
        <f t="shared" si="79"/>
        <v>1</v>
      </c>
      <c r="X234" s="442">
        <v>2</v>
      </c>
      <c r="Y234" s="444">
        <v>1000</v>
      </c>
    </row>
    <row r="235" spans="1:26" x14ac:dyDescent="0.25">
      <c r="A235" s="434" t="s">
        <v>34</v>
      </c>
      <c r="B235" s="443">
        <v>0</v>
      </c>
      <c r="C235" s="433">
        <v>55</v>
      </c>
      <c r="D235" s="433">
        <v>168</v>
      </c>
      <c r="E235" s="433">
        <v>157</v>
      </c>
      <c r="F235" s="433">
        <v>148</v>
      </c>
      <c r="G235" s="433">
        <v>125</v>
      </c>
      <c r="H235" s="433">
        <v>135</v>
      </c>
      <c r="I235" s="433">
        <v>141</v>
      </c>
      <c r="J235" s="433">
        <v>142</v>
      </c>
      <c r="K235" s="433">
        <v>141</v>
      </c>
      <c r="L235" s="433">
        <v>133</v>
      </c>
      <c r="M235" s="433">
        <v>127</v>
      </c>
      <c r="N235" s="433">
        <v>128</v>
      </c>
      <c r="O235" s="433">
        <v>60</v>
      </c>
      <c r="P235" s="433">
        <v>15</v>
      </c>
      <c r="Q235" s="433">
        <v>0</v>
      </c>
      <c r="R235" s="433">
        <v>0</v>
      </c>
      <c r="S235" s="433">
        <f t="shared" si="79"/>
        <v>0</v>
      </c>
      <c r="T235" s="433">
        <f t="shared" si="79"/>
        <v>0</v>
      </c>
      <c r="U235" s="433">
        <f t="shared" si="79"/>
        <v>0</v>
      </c>
      <c r="V235" s="433">
        <f t="shared" si="79"/>
        <v>0</v>
      </c>
      <c r="W235" s="433">
        <f t="shared" si="79"/>
        <v>0</v>
      </c>
      <c r="X235" s="433">
        <f t="shared" si="79"/>
        <v>0</v>
      </c>
      <c r="Y235" s="439">
        <v>0</v>
      </c>
    </row>
    <row r="236" spans="1:26" ht="13.8" thickBot="1" x14ac:dyDescent="0.3">
      <c r="A236" s="435" t="s">
        <v>117</v>
      </c>
      <c r="B236" s="429">
        <f t="shared" ref="B236:X236" si="80">(C235+B235)*(C234-B234)/2</f>
        <v>0.27500000000000002</v>
      </c>
      <c r="C236" s="430">
        <f t="shared" si="80"/>
        <v>1.115</v>
      </c>
      <c r="D236" s="430">
        <f t="shared" si="80"/>
        <v>1.6249999999999998</v>
      </c>
      <c r="E236" s="430">
        <f t="shared" si="80"/>
        <v>1.5250000000000004</v>
      </c>
      <c r="F236" s="430">
        <f t="shared" si="80"/>
        <v>1.3650000000000002</v>
      </c>
      <c r="G236" s="430">
        <f t="shared" si="80"/>
        <v>6.5</v>
      </c>
      <c r="H236" s="430">
        <f t="shared" si="80"/>
        <v>13.8</v>
      </c>
      <c r="I236" s="430">
        <f t="shared" si="80"/>
        <v>14.149999999999997</v>
      </c>
      <c r="J236" s="430">
        <f t="shared" si="80"/>
        <v>14.150000000000004</v>
      </c>
      <c r="K236" s="430">
        <f t="shared" si="80"/>
        <v>27.399999999999995</v>
      </c>
      <c r="L236" s="430">
        <f t="shared" si="80"/>
        <v>19.500000000000004</v>
      </c>
      <c r="M236" s="430">
        <f t="shared" si="80"/>
        <v>7.6500000000000066</v>
      </c>
      <c r="N236" s="430">
        <f t="shared" si="80"/>
        <v>4.699999999999994</v>
      </c>
      <c r="O236" s="430">
        <f t="shared" si="80"/>
        <v>1.5000000000000013</v>
      </c>
      <c r="P236" s="430">
        <f t="shared" si="80"/>
        <v>0.3749999999999995</v>
      </c>
      <c r="Q236" s="430">
        <f t="shared" si="80"/>
        <v>0</v>
      </c>
      <c r="R236" s="430">
        <f t="shared" si="80"/>
        <v>0</v>
      </c>
      <c r="S236" s="430">
        <f t="shared" si="80"/>
        <v>0</v>
      </c>
      <c r="T236" s="430">
        <f t="shared" si="80"/>
        <v>0</v>
      </c>
      <c r="U236" s="430">
        <f t="shared" si="80"/>
        <v>0</v>
      </c>
      <c r="V236" s="430">
        <f t="shared" si="80"/>
        <v>0</v>
      </c>
      <c r="W236" s="430">
        <f t="shared" si="80"/>
        <v>0</v>
      </c>
      <c r="X236" s="430">
        <f t="shared" si="80"/>
        <v>0</v>
      </c>
      <c r="Y236" s="424"/>
    </row>
    <row r="237" spans="1:26" ht="13.8" thickBot="1" x14ac:dyDescent="0.3">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6" ht="13.8" thickBot="1" x14ac:dyDescent="0.3">
      <c r="A238" s="416" t="s">
        <v>394</v>
      </c>
      <c r="B238" s="414">
        <f>ROW(A238)</f>
        <v>238</v>
      </c>
      <c r="C238" s="418" t="s">
        <v>116</v>
      </c>
      <c r="D238" s="408">
        <f>SUM(B241:Y241)</f>
        <v>158.04815100000002</v>
      </c>
      <c r="E238" s="418" t="s">
        <v>115</v>
      </c>
      <c r="F238" s="409">
        <v>198</v>
      </c>
      <c r="G238" s="418" t="s">
        <v>57</v>
      </c>
      <c r="H238" s="86">
        <v>0.19450000000000001</v>
      </c>
      <c r="I238" s="418" t="s">
        <v>272</v>
      </c>
      <c r="J238" s="410">
        <f>H238-L238</f>
        <v>8.9600000000000013E-2</v>
      </c>
      <c r="K238" s="418" t="s">
        <v>273</v>
      </c>
      <c r="L238" s="86">
        <v>0.10489999999999999</v>
      </c>
      <c r="M238" s="418" t="s">
        <v>58</v>
      </c>
      <c r="N238" s="87">
        <v>93</v>
      </c>
      <c r="O238" s="418" t="s">
        <v>60</v>
      </c>
      <c r="P238" s="87">
        <v>93</v>
      </c>
      <c r="Q238" s="418" t="s">
        <v>61</v>
      </c>
      <c r="R238" s="87">
        <v>187</v>
      </c>
      <c r="S238" s="418" t="s">
        <v>62</v>
      </c>
      <c r="T238" s="87">
        <v>29</v>
      </c>
      <c r="U238" s="418" t="s">
        <v>55</v>
      </c>
      <c r="V238" s="88" t="s">
        <v>120</v>
      </c>
      <c r="W238" s="547" t="s">
        <v>396</v>
      </c>
      <c r="X238" s="549">
        <v>1.27</v>
      </c>
      <c r="Y238" s="547" t="s">
        <v>395</v>
      </c>
      <c r="Z238" s="413">
        <v>14</v>
      </c>
    </row>
    <row r="239" spans="1:26" x14ac:dyDescent="0.25">
      <c r="A239" s="417" t="s">
        <v>33</v>
      </c>
      <c r="B239" s="557">
        <v>0</v>
      </c>
      <c r="C239" s="557">
        <v>4.0000000000000001E-3</v>
      </c>
      <c r="D239" s="557">
        <v>2.1999999999999999E-2</v>
      </c>
      <c r="E239" s="557">
        <v>3.9E-2</v>
      </c>
      <c r="F239" s="557">
        <v>0.122</v>
      </c>
      <c r="G239" s="557">
        <v>0.23599999999999999</v>
      </c>
      <c r="H239" s="557">
        <v>0.58899999999999997</v>
      </c>
      <c r="I239" s="557">
        <v>0.80100000000000005</v>
      </c>
      <c r="J239" s="557">
        <v>1.0680000000000001</v>
      </c>
      <c r="K239" s="557">
        <v>1.1180000000000001</v>
      </c>
      <c r="L239" s="557">
        <v>1.145</v>
      </c>
      <c r="M239" s="557">
        <v>1.1739999999999999</v>
      </c>
      <c r="N239" s="557">
        <v>1.2110000000000001</v>
      </c>
      <c r="O239" s="557">
        <v>1.2470000000000001</v>
      </c>
      <c r="P239" s="557">
        <v>1.2989999999999999</v>
      </c>
      <c r="Q239" s="442">
        <v>2</v>
      </c>
      <c r="R239" s="442">
        <v>2</v>
      </c>
      <c r="S239" s="442">
        <f t="shared" ref="S239:X240" si="81">R239</f>
        <v>2</v>
      </c>
      <c r="T239" s="442">
        <f t="shared" si="81"/>
        <v>2</v>
      </c>
      <c r="U239" s="442">
        <f t="shared" si="81"/>
        <v>2</v>
      </c>
      <c r="V239" s="442">
        <f t="shared" si="81"/>
        <v>2</v>
      </c>
      <c r="W239" s="442">
        <f t="shared" si="81"/>
        <v>2</v>
      </c>
      <c r="X239" s="442">
        <f t="shared" si="81"/>
        <v>2</v>
      </c>
      <c r="Y239" s="444">
        <v>1000</v>
      </c>
    </row>
    <row r="240" spans="1:26" x14ac:dyDescent="0.25">
      <c r="A240" s="434" t="s">
        <v>34</v>
      </c>
      <c r="B240" s="557">
        <v>0</v>
      </c>
      <c r="C240" s="557">
        <v>15.683</v>
      </c>
      <c r="D240" s="557">
        <v>170.834</v>
      </c>
      <c r="E240" s="557">
        <v>116.877</v>
      </c>
      <c r="F240" s="557">
        <v>142.642</v>
      </c>
      <c r="G240" s="557">
        <v>149.73699999999999</v>
      </c>
      <c r="H240" s="557">
        <v>142.642</v>
      </c>
      <c r="I240" s="557">
        <v>131.25299999999999</v>
      </c>
      <c r="J240" s="557">
        <v>122.104</v>
      </c>
      <c r="K240" s="557">
        <v>107.91500000000001</v>
      </c>
      <c r="L240" s="557">
        <v>78.415999999999997</v>
      </c>
      <c r="M240" s="557">
        <v>43.128999999999998</v>
      </c>
      <c r="N240" s="557">
        <v>21.471</v>
      </c>
      <c r="O240" s="557">
        <v>8.7750000000000004</v>
      </c>
      <c r="P240" s="557">
        <v>0</v>
      </c>
      <c r="Q240" s="433">
        <v>0</v>
      </c>
      <c r="R240" s="433">
        <v>0</v>
      </c>
      <c r="S240" s="433">
        <f t="shared" si="81"/>
        <v>0</v>
      </c>
      <c r="T240" s="433">
        <f t="shared" si="81"/>
        <v>0</v>
      </c>
      <c r="U240" s="433">
        <f t="shared" si="81"/>
        <v>0</v>
      </c>
      <c r="V240" s="433">
        <f t="shared" si="81"/>
        <v>0</v>
      </c>
      <c r="W240" s="433">
        <f t="shared" si="81"/>
        <v>0</v>
      </c>
      <c r="X240" s="433">
        <f t="shared" si="81"/>
        <v>0</v>
      </c>
      <c r="Y240" s="439">
        <v>0</v>
      </c>
    </row>
    <row r="241" spans="1:26" ht="13.8" thickBot="1" x14ac:dyDescent="0.3">
      <c r="A241" s="435" t="s">
        <v>117</v>
      </c>
      <c r="B241" s="429">
        <f t="shared" ref="B241:X241" si="82">(C240+B240)*(C239-B239)/2</f>
        <v>3.1365999999999998E-2</v>
      </c>
      <c r="C241" s="430">
        <f t="shared" si="82"/>
        <v>1.6786529999999997</v>
      </c>
      <c r="D241" s="430">
        <f t="shared" si="82"/>
        <v>2.4455435000000003</v>
      </c>
      <c r="E241" s="430">
        <f t="shared" si="82"/>
        <v>10.770038499999998</v>
      </c>
      <c r="F241" s="430">
        <f t="shared" si="82"/>
        <v>16.665603000000001</v>
      </c>
      <c r="G241" s="430">
        <f t="shared" si="82"/>
        <v>51.604893500000003</v>
      </c>
      <c r="H241" s="430">
        <f t="shared" si="82"/>
        <v>29.03287000000001</v>
      </c>
      <c r="I241" s="430">
        <f t="shared" si="82"/>
        <v>33.823159499999996</v>
      </c>
      <c r="J241" s="430">
        <f t="shared" si="82"/>
        <v>5.7504750000000051</v>
      </c>
      <c r="K241" s="430">
        <f t="shared" si="82"/>
        <v>2.5154684999999923</v>
      </c>
      <c r="L241" s="430">
        <f t="shared" si="82"/>
        <v>1.7624024999999945</v>
      </c>
      <c r="M241" s="430">
        <f t="shared" si="82"/>
        <v>1.1951000000000045</v>
      </c>
      <c r="N241" s="430">
        <f t="shared" si="82"/>
        <v>0.54442800000000058</v>
      </c>
      <c r="O241" s="430">
        <f t="shared" si="82"/>
        <v>0.22814999999999924</v>
      </c>
      <c r="P241" s="430">
        <f t="shared" si="82"/>
        <v>0</v>
      </c>
      <c r="Q241" s="430">
        <f t="shared" si="82"/>
        <v>0</v>
      </c>
      <c r="R241" s="430">
        <f t="shared" si="82"/>
        <v>0</v>
      </c>
      <c r="S241" s="430">
        <f t="shared" si="82"/>
        <v>0</v>
      </c>
      <c r="T241" s="430">
        <f t="shared" si="82"/>
        <v>0</v>
      </c>
      <c r="U241" s="430">
        <f t="shared" si="82"/>
        <v>0</v>
      </c>
      <c r="V241" s="430">
        <f t="shared" si="82"/>
        <v>0</v>
      </c>
      <c r="W241" s="430">
        <f t="shared" si="82"/>
        <v>0</v>
      </c>
      <c r="X241" s="430">
        <f t="shared" si="82"/>
        <v>0</v>
      </c>
      <c r="Y241" s="424"/>
    </row>
    <row r="242" spans="1:26" ht="13.8" thickBot="1" x14ac:dyDescent="0.3">
      <c r="A242" s="492" t="s">
        <v>376</v>
      </c>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6" ht="13.8" thickBot="1" x14ac:dyDescent="0.3">
      <c r="A243" s="416" t="s">
        <v>381</v>
      </c>
      <c r="B243" s="414">
        <f>ROW(A243)</f>
        <v>243</v>
      </c>
      <c r="C243" s="418" t="s">
        <v>116</v>
      </c>
      <c r="D243" s="408">
        <f>SUM(B246:Y246)</f>
        <v>136.75235000000001</v>
      </c>
      <c r="E243" s="418" t="s">
        <v>115</v>
      </c>
      <c r="F243" s="409">
        <f>D243/g/J243</f>
        <v>152.35078513616639</v>
      </c>
      <c r="G243" s="418" t="s">
        <v>57</v>
      </c>
      <c r="H243" s="86">
        <v>0.21249999999999999</v>
      </c>
      <c r="I243" s="418" t="s">
        <v>272</v>
      </c>
      <c r="J243" s="410">
        <f>H243-L243</f>
        <v>9.1499999999999998E-2</v>
      </c>
      <c r="K243" s="418" t="s">
        <v>273</v>
      </c>
      <c r="L243" s="86">
        <v>0.121</v>
      </c>
      <c r="M243" s="418" t="s">
        <v>58</v>
      </c>
      <c r="N243" s="87">
        <v>63</v>
      </c>
      <c r="O243" s="418" t="s">
        <v>60</v>
      </c>
      <c r="P243" s="87">
        <v>114</v>
      </c>
      <c r="Q243" s="418" t="s">
        <v>61</v>
      </c>
      <c r="R243" s="87">
        <v>127</v>
      </c>
      <c r="S243" s="418" t="s">
        <v>62</v>
      </c>
      <c r="T243" s="87">
        <v>38</v>
      </c>
      <c r="U243" s="418" t="s">
        <v>55</v>
      </c>
      <c r="V243" s="88" t="s">
        <v>120</v>
      </c>
      <c r="W243" s="547" t="s">
        <v>396</v>
      </c>
      <c r="X243" s="549">
        <v>2.36</v>
      </c>
      <c r="Y243" s="547" t="s">
        <v>395</v>
      </c>
      <c r="Z243" s="413">
        <v>13</v>
      </c>
    </row>
    <row r="244" spans="1:26" x14ac:dyDescent="0.25">
      <c r="A244" s="417" t="s">
        <v>33</v>
      </c>
      <c r="B244" s="441">
        <v>0</v>
      </c>
      <c r="C244" s="426">
        <v>2.9000000000000001E-2</v>
      </c>
      <c r="D244" s="426">
        <v>4.5999999999999999E-2</v>
      </c>
      <c r="E244" s="426">
        <v>5.8000000000000003E-2</v>
      </c>
      <c r="F244" s="426">
        <v>8.4000000000000005E-2</v>
      </c>
      <c r="G244" s="426">
        <v>0.17100000000000001</v>
      </c>
      <c r="H244" s="426">
        <v>0.28000000000000003</v>
      </c>
      <c r="I244" s="426">
        <v>0.45500000000000002</v>
      </c>
      <c r="J244" s="426">
        <v>0.58599999999999997</v>
      </c>
      <c r="K244" s="426">
        <v>0.74099999999999999</v>
      </c>
      <c r="L244" s="426">
        <v>0.95199999999999996</v>
      </c>
      <c r="M244" s="426">
        <v>1.2170000000000001</v>
      </c>
      <c r="N244" s="426">
        <v>1.43</v>
      </c>
      <c r="O244" s="426">
        <v>1.6259999999999999</v>
      </c>
      <c r="P244" s="426">
        <v>1.8069999999999999</v>
      </c>
      <c r="Q244" s="426">
        <v>1.9590000000000001</v>
      </c>
      <c r="R244" s="426">
        <v>2.1040000000000001</v>
      </c>
      <c r="S244" s="426">
        <v>2.1680000000000001</v>
      </c>
      <c r="T244" s="426">
        <v>2.21</v>
      </c>
      <c r="U244" s="426">
        <v>2.2469999999999999</v>
      </c>
      <c r="V244" s="426">
        <v>2.3290000000000002</v>
      </c>
      <c r="W244" s="442">
        <f>2.4</f>
        <v>2.4</v>
      </c>
      <c r="X244" s="442">
        <f>W244</f>
        <v>2.4</v>
      </c>
      <c r="Y244" s="444">
        <v>1000</v>
      </c>
    </row>
    <row r="245" spans="1:26" x14ac:dyDescent="0.25">
      <c r="A245" s="434" t="s">
        <v>34</v>
      </c>
      <c r="B245" s="443">
        <v>0</v>
      </c>
      <c r="C245" s="428">
        <v>90.25</v>
      </c>
      <c r="D245" s="428">
        <v>69.17</v>
      </c>
      <c r="E245" s="428">
        <v>59.947000000000003</v>
      </c>
      <c r="F245" s="428">
        <v>47.167000000000002</v>
      </c>
      <c r="G245" s="428">
        <v>57.970999999999997</v>
      </c>
      <c r="H245" s="428">
        <v>59.552</v>
      </c>
      <c r="I245" s="428">
        <v>61.265000000000001</v>
      </c>
      <c r="J245" s="428">
        <v>61.66</v>
      </c>
      <c r="K245" s="428">
        <v>62.319000000000003</v>
      </c>
      <c r="L245" s="428">
        <v>63.768000000000001</v>
      </c>
      <c r="M245" s="428">
        <v>64.69</v>
      </c>
      <c r="N245" s="428">
        <v>63.768000000000001</v>
      </c>
      <c r="O245" s="428">
        <v>61.265000000000001</v>
      </c>
      <c r="P245" s="428">
        <v>58.103000000000002</v>
      </c>
      <c r="Q245" s="428">
        <v>53.887</v>
      </c>
      <c r="R245" s="428">
        <v>48.353000000000002</v>
      </c>
      <c r="S245" s="428">
        <v>47.563000000000002</v>
      </c>
      <c r="T245" s="428">
        <v>44.005000000000003</v>
      </c>
      <c r="U245" s="428">
        <v>37.286000000000001</v>
      </c>
      <c r="V245" s="428">
        <v>22.265999999999998</v>
      </c>
      <c r="W245" s="433">
        <v>0</v>
      </c>
      <c r="X245" s="433">
        <f>W245</f>
        <v>0</v>
      </c>
      <c r="Y245" s="439">
        <v>0</v>
      </c>
    </row>
    <row r="246" spans="1:26" ht="13.8" thickBot="1" x14ac:dyDescent="0.3">
      <c r="A246" s="435" t="s">
        <v>117</v>
      </c>
      <c r="B246" s="429">
        <f t="shared" ref="B246:X246" si="83">(C245+B245)*(C244-B244)/2</f>
        <v>1.3086250000000001</v>
      </c>
      <c r="C246" s="430">
        <f t="shared" si="83"/>
        <v>1.35507</v>
      </c>
      <c r="D246" s="430">
        <f t="shared" si="83"/>
        <v>0.77470200000000033</v>
      </c>
      <c r="E246" s="430">
        <f t="shared" si="83"/>
        <v>1.3924820000000002</v>
      </c>
      <c r="F246" s="430">
        <f t="shared" si="83"/>
        <v>4.5735030000000005</v>
      </c>
      <c r="G246" s="430">
        <f t="shared" si="83"/>
        <v>6.4050035000000003</v>
      </c>
      <c r="H246" s="430">
        <f t="shared" si="83"/>
        <v>10.5714875</v>
      </c>
      <c r="I246" s="430">
        <f t="shared" si="83"/>
        <v>8.0515874999999966</v>
      </c>
      <c r="J246" s="430">
        <f t="shared" si="83"/>
        <v>9.6083725000000015</v>
      </c>
      <c r="K246" s="430">
        <f t="shared" si="83"/>
        <v>13.302178499999998</v>
      </c>
      <c r="L246" s="430">
        <f t="shared" si="83"/>
        <v>17.020685000000007</v>
      </c>
      <c r="M246" s="430">
        <f t="shared" si="83"/>
        <v>13.68077699999999</v>
      </c>
      <c r="N246" s="430">
        <f t="shared" si="83"/>
        <v>12.253233999999997</v>
      </c>
      <c r="O246" s="430">
        <f t="shared" si="83"/>
        <v>10.802804000000002</v>
      </c>
      <c r="P246" s="430">
        <f t="shared" si="83"/>
        <v>8.5112400000000079</v>
      </c>
      <c r="Q246" s="430">
        <f t="shared" si="83"/>
        <v>7.4124000000000017</v>
      </c>
      <c r="R246" s="430">
        <f t="shared" si="83"/>
        <v>3.0693120000000027</v>
      </c>
      <c r="S246" s="430">
        <f t="shared" si="83"/>
        <v>1.9229279999999918</v>
      </c>
      <c r="T246" s="430">
        <f t="shared" si="83"/>
        <v>1.5038834999999968</v>
      </c>
      <c r="U246" s="430">
        <f t="shared" si="83"/>
        <v>2.4416320000000087</v>
      </c>
      <c r="V246" s="430">
        <f t="shared" si="83"/>
        <v>0.7904429999999969</v>
      </c>
      <c r="W246" s="430">
        <f t="shared" si="83"/>
        <v>0</v>
      </c>
      <c r="X246" s="430">
        <f t="shared" si="83"/>
        <v>0</v>
      </c>
      <c r="Y246" s="424"/>
    </row>
    <row r="247" spans="1:26" ht="13.8" thickBot="1" x14ac:dyDescent="0.3">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6" ht="13.8" thickBot="1" x14ac:dyDescent="0.3">
      <c r="A248" s="416" t="s">
        <v>382</v>
      </c>
      <c r="B248" s="414">
        <f>ROW(A248)</f>
        <v>248</v>
      </c>
      <c r="C248" s="418" t="s">
        <v>116</v>
      </c>
      <c r="D248" s="408">
        <f>SUM(B251:Y251)</f>
        <v>127.06944999999999</v>
      </c>
      <c r="E248" s="418" t="s">
        <v>115</v>
      </c>
      <c r="F248" s="409">
        <f>D248/g/J248</f>
        <v>180.65624835614466</v>
      </c>
      <c r="G248" s="418" t="s">
        <v>57</v>
      </c>
      <c r="H248" s="86">
        <v>0.18840000000000001</v>
      </c>
      <c r="I248" s="418" t="s">
        <v>272</v>
      </c>
      <c r="J248" s="410">
        <f>H248-L248</f>
        <v>7.1700000000000014E-2</v>
      </c>
      <c r="K248" s="418" t="s">
        <v>273</v>
      </c>
      <c r="L248" s="86">
        <v>0.1167</v>
      </c>
      <c r="M248" s="418" t="s">
        <v>58</v>
      </c>
      <c r="N248" s="87">
        <v>63</v>
      </c>
      <c r="O248" s="418" t="s">
        <v>60</v>
      </c>
      <c r="P248" s="87">
        <v>114</v>
      </c>
      <c r="Q248" s="418" t="s">
        <v>61</v>
      </c>
      <c r="R248" s="87">
        <v>127</v>
      </c>
      <c r="S248" s="418" t="s">
        <v>62</v>
      </c>
      <c r="T248" s="87">
        <v>38</v>
      </c>
      <c r="U248" s="418" t="s">
        <v>55</v>
      </c>
      <c r="V248" s="88" t="s">
        <v>120</v>
      </c>
      <c r="W248" s="547" t="s">
        <v>396</v>
      </c>
      <c r="X248" s="549">
        <v>0.69</v>
      </c>
      <c r="Y248" s="547" t="s">
        <v>395</v>
      </c>
      <c r="Z248" s="413">
        <v>12</v>
      </c>
    </row>
    <row r="249" spans="1:26" x14ac:dyDescent="0.25">
      <c r="A249" s="417" t="s">
        <v>33</v>
      </c>
      <c r="B249" s="441">
        <v>0</v>
      </c>
      <c r="C249" s="442">
        <v>0.01</v>
      </c>
      <c r="D249" s="442">
        <v>0.02</v>
      </c>
      <c r="E249" s="442">
        <v>0.05</v>
      </c>
      <c r="F249" s="442">
        <v>0.1</v>
      </c>
      <c r="G249" s="442">
        <v>0.2</v>
      </c>
      <c r="H249" s="442">
        <v>0.3</v>
      </c>
      <c r="I249" s="442">
        <v>0.35</v>
      </c>
      <c r="J249" s="442">
        <v>0.4</v>
      </c>
      <c r="K249" s="442">
        <v>0.45</v>
      </c>
      <c r="L249" s="442">
        <v>0.5</v>
      </c>
      <c r="M249" s="442">
        <v>0.55000000000000004</v>
      </c>
      <c r="N249" s="442">
        <v>0.6</v>
      </c>
      <c r="O249" s="442">
        <v>0.61</v>
      </c>
      <c r="P249" s="442">
        <v>0.63</v>
      </c>
      <c r="Q249" s="442">
        <v>0.64</v>
      </c>
      <c r="R249" s="442">
        <v>0.65</v>
      </c>
      <c r="S249" s="442">
        <v>0.67</v>
      </c>
      <c r="T249" s="442">
        <v>0.68</v>
      </c>
      <c r="U249" s="442">
        <v>0.69</v>
      </c>
      <c r="V249" s="442">
        <f t="shared" ref="V249:X250" si="84">U249</f>
        <v>0.69</v>
      </c>
      <c r="W249" s="442">
        <f t="shared" si="84"/>
        <v>0.69</v>
      </c>
      <c r="X249" s="442">
        <v>2</v>
      </c>
      <c r="Y249" s="444">
        <v>1000</v>
      </c>
    </row>
    <row r="250" spans="1:26" x14ac:dyDescent="0.25">
      <c r="A250" s="434" t="s">
        <v>34</v>
      </c>
      <c r="B250" s="443">
        <v>0</v>
      </c>
      <c r="C250" s="433">
        <v>108.72</v>
      </c>
      <c r="D250" s="433">
        <v>131.19</v>
      </c>
      <c r="E250" s="433">
        <v>153.13999999999999</v>
      </c>
      <c r="F250" s="433">
        <v>168.97</v>
      </c>
      <c r="G250" s="433">
        <v>189.92</v>
      </c>
      <c r="H250" s="433">
        <v>199.95</v>
      </c>
      <c r="I250" s="433">
        <v>203.59</v>
      </c>
      <c r="J250" s="433">
        <v>205.03</v>
      </c>
      <c r="K250" s="433">
        <v>202.6</v>
      </c>
      <c r="L250" s="433">
        <v>203.06</v>
      </c>
      <c r="M250" s="433">
        <v>199.34</v>
      </c>
      <c r="N250" s="433">
        <v>194.71</v>
      </c>
      <c r="O250" s="433">
        <v>194.1</v>
      </c>
      <c r="P250" s="433">
        <v>193.49</v>
      </c>
      <c r="Q250" s="433">
        <v>193.68</v>
      </c>
      <c r="R250" s="433">
        <v>202.91</v>
      </c>
      <c r="S250" s="433">
        <v>163.38999999999999</v>
      </c>
      <c r="T250" s="433">
        <v>80.44</v>
      </c>
      <c r="U250" s="433">
        <v>0</v>
      </c>
      <c r="V250" s="433">
        <f t="shared" si="84"/>
        <v>0</v>
      </c>
      <c r="W250" s="433">
        <f t="shared" si="84"/>
        <v>0</v>
      </c>
      <c r="X250" s="433">
        <f t="shared" si="84"/>
        <v>0</v>
      </c>
      <c r="Y250" s="439">
        <v>0</v>
      </c>
    </row>
    <row r="251" spans="1:26" ht="13.8" thickBot="1" x14ac:dyDescent="0.3">
      <c r="A251" s="435" t="s">
        <v>117</v>
      </c>
      <c r="B251" s="429">
        <f t="shared" ref="B251:X251" si="85">(C250+B250)*(C249-B249)/2</f>
        <v>0.54359999999999997</v>
      </c>
      <c r="C251" s="430">
        <f t="shared" si="85"/>
        <v>1.1995500000000001</v>
      </c>
      <c r="D251" s="430">
        <f t="shared" si="85"/>
        <v>4.2649499999999998</v>
      </c>
      <c r="E251" s="430">
        <f t="shared" si="85"/>
        <v>8.0527500000000014</v>
      </c>
      <c r="F251" s="430">
        <f t="shared" si="85"/>
        <v>17.944500000000001</v>
      </c>
      <c r="G251" s="430">
        <f t="shared" si="85"/>
        <v>19.493499999999997</v>
      </c>
      <c r="H251" s="430">
        <f t="shared" si="85"/>
        <v>10.088499999999996</v>
      </c>
      <c r="I251" s="430">
        <f t="shared" si="85"/>
        <v>10.215500000000009</v>
      </c>
      <c r="J251" s="430">
        <f t="shared" si="85"/>
        <v>10.190749999999998</v>
      </c>
      <c r="K251" s="430">
        <f t="shared" si="85"/>
        <v>10.141499999999997</v>
      </c>
      <c r="L251" s="430">
        <f t="shared" si="85"/>
        <v>10.060000000000008</v>
      </c>
      <c r="M251" s="430">
        <f t="shared" si="85"/>
        <v>9.8512499999999878</v>
      </c>
      <c r="N251" s="430">
        <f t="shared" si="85"/>
        <v>1.9440500000000018</v>
      </c>
      <c r="O251" s="430">
        <f t="shared" si="85"/>
        <v>3.8759000000000037</v>
      </c>
      <c r="P251" s="430">
        <f t="shared" si="85"/>
        <v>1.9358500000000018</v>
      </c>
      <c r="Q251" s="430">
        <f t="shared" si="85"/>
        <v>1.982950000000002</v>
      </c>
      <c r="R251" s="430">
        <f t="shared" si="85"/>
        <v>3.6630000000000029</v>
      </c>
      <c r="S251" s="430">
        <f t="shared" si="85"/>
        <v>1.2191500000000011</v>
      </c>
      <c r="T251" s="430">
        <f t="shared" si="85"/>
        <v>0.40219999999999589</v>
      </c>
      <c r="U251" s="430">
        <f t="shared" si="85"/>
        <v>0</v>
      </c>
      <c r="V251" s="430">
        <f t="shared" si="85"/>
        <v>0</v>
      </c>
      <c r="W251" s="430">
        <f t="shared" si="85"/>
        <v>0</v>
      </c>
      <c r="X251" s="430">
        <f t="shared" si="85"/>
        <v>0</v>
      </c>
      <c r="Y251" s="424"/>
    </row>
    <row r="252" spans="1:26" ht="13.8" thickBot="1" x14ac:dyDescent="0.3">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6" ht="13.8" thickBot="1" x14ac:dyDescent="0.3">
      <c r="A253" s="416" t="s">
        <v>390</v>
      </c>
      <c r="B253" s="414">
        <f>ROW(A253)</f>
        <v>253</v>
      </c>
      <c r="C253" s="418" t="s">
        <v>116</v>
      </c>
      <c r="D253" s="408">
        <f>SUM(B256:Y256)</f>
        <v>142.7236025</v>
      </c>
      <c r="E253" s="418" t="s">
        <v>115</v>
      </c>
      <c r="F253" s="409">
        <v>208</v>
      </c>
      <c r="G253" s="418" t="s">
        <v>57</v>
      </c>
      <c r="H253" s="86">
        <v>0.19700000000000001</v>
      </c>
      <c r="I253" s="418" t="s">
        <v>272</v>
      </c>
      <c r="J253" s="410">
        <f>H253-L253</f>
        <v>7.0000000000000007E-2</v>
      </c>
      <c r="K253" s="418" t="s">
        <v>273</v>
      </c>
      <c r="L253" s="86">
        <v>0.127</v>
      </c>
      <c r="M253" s="418" t="s">
        <v>58</v>
      </c>
      <c r="N253" s="87">
        <v>63</v>
      </c>
      <c r="O253" s="418" t="s">
        <v>60</v>
      </c>
      <c r="P253" s="87">
        <v>114</v>
      </c>
      <c r="Q253" s="418" t="s">
        <v>61</v>
      </c>
      <c r="R253" s="87">
        <v>127</v>
      </c>
      <c r="S253" s="418" t="s">
        <v>62</v>
      </c>
      <c r="T253" s="87">
        <v>38</v>
      </c>
      <c r="U253" s="418" t="s">
        <v>55</v>
      </c>
      <c r="V253" s="88" t="s">
        <v>120</v>
      </c>
      <c r="W253" s="547" t="s">
        <v>396</v>
      </c>
      <c r="X253" s="549">
        <v>1.8</v>
      </c>
      <c r="Y253" s="547" t="s">
        <v>395</v>
      </c>
      <c r="Z253" s="413">
        <v>15</v>
      </c>
    </row>
    <row r="254" spans="1:26" x14ac:dyDescent="0.25">
      <c r="A254" s="417" t="s">
        <v>33</v>
      </c>
      <c r="B254" s="441">
        <v>0</v>
      </c>
      <c r="C254" s="441">
        <v>6.0000000000000001E-3</v>
      </c>
      <c r="D254" s="442">
        <v>1.7999999999999999E-2</v>
      </c>
      <c r="E254" s="442">
        <v>3.5999999999999997E-2</v>
      </c>
      <c r="F254" s="442">
        <v>4.7E-2</v>
      </c>
      <c r="G254" s="442">
        <v>8.4000000000000005E-2</v>
      </c>
      <c r="H254" s="442">
        <v>0.13500000000000001</v>
      </c>
      <c r="I254" s="442">
        <v>0.23799999999999999</v>
      </c>
      <c r="J254" s="442">
        <v>0.438</v>
      </c>
      <c r="K254" s="442">
        <v>0.63</v>
      </c>
      <c r="L254" s="442">
        <v>0.85899999999999999</v>
      </c>
      <c r="M254" s="442">
        <v>1.2829999999999999</v>
      </c>
      <c r="N254" s="442">
        <v>1.4470000000000001</v>
      </c>
      <c r="O254" s="442">
        <v>1.643</v>
      </c>
      <c r="P254" s="442">
        <v>1.7130000000000001</v>
      </c>
      <c r="Q254" s="442">
        <v>1.7430000000000001</v>
      </c>
      <c r="R254" s="442">
        <v>1.79</v>
      </c>
      <c r="S254" s="442">
        <v>1.8180000000000001</v>
      </c>
      <c r="T254" s="442">
        <v>1.8520000000000001</v>
      </c>
      <c r="U254" s="442">
        <v>2</v>
      </c>
      <c r="V254" s="442">
        <f t="shared" ref="V254:X255" si="86">U254</f>
        <v>2</v>
      </c>
      <c r="W254" s="442">
        <f t="shared" si="86"/>
        <v>2</v>
      </c>
      <c r="X254" s="442">
        <f t="shared" si="86"/>
        <v>2</v>
      </c>
      <c r="Y254" s="444">
        <v>1000</v>
      </c>
    </row>
    <row r="255" spans="1:26" x14ac:dyDescent="0.25">
      <c r="A255" s="434" t="s">
        <v>34</v>
      </c>
      <c r="B255" s="443">
        <v>0</v>
      </c>
      <c r="C255" s="443">
        <v>104.068</v>
      </c>
      <c r="D255" s="433">
        <v>137.928</v>
      </c>
      <c r="E255" s="433">
        <v>70.706999999999994</v>
      </c>
      <c r="F255" s="433">
        <v>62.241999999999997</v>
      </c>
      <c r="G255" s="433">
        <v>73.694000000000003</v>
      </c>
      <c r="H255" s="433">
        <v>78.176000000000002</v>
      </c>
      <c r="I255" s="433">
        <v>84.150999999999996</v>
      </c>
      <c r="J255" s="433">
        <v>89.628</v>
      </c>
      <c r="K255" s="433">
        <v>88.135000000000005</v>
      </c>
      <c r="L255" s="433">
        <v>87.138999999999996</v>
      </c>
      <c r="M255" s="433">
        <v>77.180000000000007</v>
      </c>
      <c r="N255" s="433">
        <v>70.706999999999994</v>
      </c>
      <c r="O255" s="433">
        <v>67.718999999999994</v>
      </c>
      <c r="P255" s="433">
        <v>64.233999999999995</v>
      </c>
      <c r="Q255" s="433">
        <v>54.274999999999999</v>
      </c>
      <c r="R255" s="433">
        <v>18.423999999999999</v>
      </c>
      <c r="S255" s="433">
        <v>6.4729999999999999</v>
      </c>
      <c r="T255" s="433">
        <v>0</v>
      </c>
      <c r="U255" s="433">
        <v>0</v>
      </c>
      <c r="V255" s="433">
        <f t="shared" si="86"/>
        <v>0</v>
      </c>
      <c r="W255" s="433">
        <f t="shared" si="86"/>
        <v>0</v>
      </c>
      <c r="X255" s="433">
        <f t="shared" si="86"/>
        <v>0</v>
      </c>
      <c r="Y255" s="439">
        <v>0</v>
      </c>
    </row>
    <row r="256" spans="1:26" ht="13.8" thickBot="1" x14ac:dyDescent="0.3">
      <c r="A256" s="435" t="s">
        <v>117</v>
      </c>
      <c r="B256" s="429">
        <f t="shared" ref="B256:X256" si="87">(C255+B255)*(C254-B254)/2</f>
        <v>0.31220399999999998</v>
      </c>
      <c r="C256" s="430">
        <f t="shared" si="87"/>
        <v>1.4519759999999997</v>
      </c>
      <c r="D256" s="430">
        <f t="shared" si="87"/>
        <v>1.8777149999999998</v>
      </c>
      <c r="E256" s="430">
        <f t="shared" si="87"/>
        <v>0.73121950000000013</v>
      </c>
      <c r="F256" s="430">
        <f t="shared" si="87"/>
        <v>2.5148160000000006</v>
      </c>
      <c r="G256" s="430">
        <f t="shared" si="87"/>
        <v>3.8726850000000006</v>
      </c>
      <c r="H256" s="430">
        <f t="shared" si="87"/>
        <v>8.3598404999999989</v>
      </c>
      <c r="I256" s="430">
        <f t="shared" si="87"/>
        <v>17.3779</v>
      </c>
      <c r="J256" s="430">
        <f t="shared" si="87"/>
        <v>17.065248</v>
      </c>
      <c r="K256" s="430">
        <f t="shared" si="87"/>
        <v>20.068873</v>
      </c>
      <c r="L256" s="430">
        <f t="shared" si="87"/>
        <v>34.835628</v>
      </c>
      <c r="M256" s="430">
        <f t="shared" si="87"/>
        <v>12.126734000000011</v>
      </c>
      <c r="N256" s="430">
        <f t="shared" si="87"/>
        <v>13.565747999999996</v>
      </c>
      <c r="O256" s="430">
        <f t="shared" si="87"/>
        <v>4.6183550000000029</v>
      </c>
      <c r="P256" s="430">
        <f t="shared" si="87"/>
        <v>1.7776350000000014</v>
      </c>
      <c r="Q256" s="430">
        <f t="shared" si="87"/>
        <v>1.7084264999999974</v>
      </c>
      <c r="R256" s="430">
        <f t="shared" si="87"/>
        <v>0.34855800000000031</v>
      </c>
      <c r="S256" s="430">
        <f t="shared" si="87"/>
        <v>0.1100410000000001</v>
      </c>
      <c r="T256" s="430">
        <f t="shared" si="87"/>
        <v>0</v>
      </c>
      <c r="U256" s="430">
        <f t="shared" si="87"/>
        <v>0</v>
      </c>
      <c r="V256" s="430">
        <f t="shared" si="87"/>
        <v>0</v>
      </c>
      <c r="W256" s="430">
        <f t="shared" si="87"/>
        <v>0</v>
      </c>
      <c r="X256" s="430">
        <f t="shared" si="87"/>
        <v>0</v>
      </c>
      <c r="Y256" s="424"/>
    </row>
    <row r="257" spans="1:25" ht="13.8" thickBot="1" x14ac:dyDescent="0.3">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3.8" thickBot="1" x14ac:dyDescent="0.3">
      <c r="A258" s="416" t="s">
        <v>275</v>
      </c>
      <c r="B258" s="415">
        <f>ROW(A258)</f>
        <v>258</v>
      </c>
      <c r="C258" s="418" t="s">
        <v>116</v>
      </c>
      <c r="D258" s="408">
        <f>SUM(B261:Y261)</f>
        <v>33.500000000000007</v>
      </c>
      <c r="E258" s="418" t="s">
        <v>115</v>
      </c>
      <c r="F258" s="409">
        <f>D258/g/J258</f>
        <v>68.297655453618759</v>
      </c>
      <c r="G258" s="418" t="s">
        <v>57</v>
      </c>
      <c r="H258" s="86">
        <v>8.5000000000000006E-2</v>
      </c>
      <c r="I258" s="418" t="s">
        <v>272</v>
      </c>
      <c r="J258" s="410">
        <f>H258-L258</f>
        <v>0.05</v>
      </c>
      <c r="K258" s="418" t="s">
        <v>273</v>
      </c>
      <c r="L258" s="86">
        <v>3.5000000000000003E-2</v>
      </c>
      <c r="M258" s="418" t="s">
        <v>58</v>
      </c>
      <c r="N258" s="87">
        <v>20</v>
      </c>
      <c r="O258" s="418" t="s">
        <v>60</v>
      </c>
      <c r="P258" s="87">
        <v>20</v>
      </c>
      <c r="Q258" s="418" t="s">
        <v>61</v>
      </c>
      <c r="R258" s="87">
        <v>39</v>
      </c>
      <c r="S258" s="418" t="s">
        <v>62</v>
      </c>
      <c r="T258" s="87">
        <v>39</v>
      </c>
      <c r="U258" s="418" t="s">
        <v>55</v>
      </c>
      <c r="V258" s="88" t="s">
        <v>403</v>
      </c>
      <c r="W258" s="17"/>
      <c r="X258" s="17"/>
      <c r="Y258" s="17"/>
    </row>
    <row r="259" spans="1:25" x14ac:dyDescent="0.25">
      <c r="A259" s="417" t="s">
        <v>33</v>
      </c>
      <c r="B259" s="425">
        <v>0</v>
      </c>
      <c r="C259" s="426">
        <v>0.05</v>
      </c>
      <c r="D259" s="426">
        <v>0.1</v>
      </c>
      <c r="E259" s="426">
        <v>0.25</v>
      </c>
      <c r="F259" s="426">
        <v>0.3</v>
      </c>
      <c r="G259" s="426">
        <v>0.35</v>
      </c>
      <c r="H259" s="426">
        <v>0.45</v>
      </c>
      <c r="I259" s="426">
        <v>0.55000000000000004</v>
      </c>
      <c r="J259" s="426">
        <v>3.5</v>
      </c>
      <c r="K259" s="426">
        <v>3.6</v>
      </c>
      <c r="L259" s="426">
        <v>3.6</v>
      </c>
      <c r="M259" s="426">
        <v>3.6</v>
      </c>
      <c r="N259" s="426">
        <v>3.6</v>
      </c>
      <c r="O259" s="426">
        <v>3.6</v>
      </c>
      <c r="P259" s="426">
        <v>3.6</v>
      </c>
      <c r="Q259" s="426">
        <v>3.6</v>
      </c>
      <c r="R259" s="426">
        <v>3.6</v>
      </c>
      <c r="S259" s="426">
        <v>3.6</v>
      </c>
      <c r="T259" s="426">
        <v>3.6</v>
      </c>
      <c r="U259" s="426">
        <v>3.6</v>
      </c>
      <c r="V259" s="426">
        <v>3.6</v>
      </c>
      <c r="W259" s="426">
        <v>3.6</v>
      </c>
      <c r="X259" s="426">
        <v>3.6</v>
      </c>
      <c r="Y259" s="437">
        <v>1000</v>
      </c>
    </row>
    <row r="260" spans="1:25" x14ac:dyDescent="0.25">
      <c r="A260" s="434" t="s">
        <v>34</v>
      </c>
      <c r="B260" s="427">
        <v>0</v>
      </c>
      <c r="C260" s="428">
        <v>68</v>
      </c>
      <c r="D260" s="428">
        <v>62</v>
      </c>
      <c r="E260" s="428">
        <v>60</v>
      </c>
      <c r="F260" s="428">
        <v>39</v>
      </c>
      <c r="G260" s="428">
        <v>38</v>
      </c>
      <c r="H260" s="428">
        <v>9</v>
      </c>
      <c r="I260" s="428">
        <v>5</v>
      </c>
      <c r="J260" s="428">
        <v>3</v>
      </c>
      <c r="K260" s="428">
        <v>0</v>
      </c>
      <c r="L260" s="428">
        <v>0</v>
      </c>
      <c r="M260" s="428">
        <v>0</v>
      </c>
      <c r="N260" s="428">
        <v>0</v>
      </c>
      <c r="O260" s="428">
        <v>0</v>
      </c>
      <c r="P260" s="428">
        <v>0</v>
      </c>
      <c r="Q260" s="428">
        <v>0</v>
      </c>
      <c r="R260" s="428">
        <v>0</v>
      </c>
      <c r="S260" s="428">
        <v>0</v>
      </c>
      <c r="T260" s="428">
        <v>0</v>
      </c>
      <c r="U260" s="428">
        <v>0</v>
      </c>
      <c r="V260" s="428">
        <v>0</v>
      </c>
      <c r="W260" s="428">
        <v>0</v>
      </c>
      <c r="X260" s="428">
        <v>0</v>
      </c>
      <c r="Y260" s="438">
        <v>0</v>
      </c>
    </row>
    <row r="261" spans="1:25" ht="13.8" thickBot="1" x14ac:dyDescent="0.3">
      <c r="A261" s="435" t="s">
        <v>117</v>
      </c>
      <c r="B261" s="429">
        <f t="shared" ref="B261:V261" si="88">(C260+B260)*(C259-B259)/2</f>
        <v>1.7000000000000002</v>
      </c>
      <c r="C261" s="430">
        <f t="shared" si="88"/>
        <v>3.25</v>
      </c>
      <c r="D261" s="430">
        <f t="shared" si="88"/>
        <v>9.15</v>
      </c>
      <c r="E261" s="430">
        <f t="shared" si="88"/>
        <v>2.4749999999999996</v>
      </c>
      <c r="F261" s="430">
        <f t="shared" si="88"/>
        <v>1.9249999999999996</v>
      </c>
      <c r="G261" s="430">
        <f t="shared" si="88"/>
        <v>2.350000000000001</v>
      </c>
      <c r="H261" s="430">
        <f t="shared" si="88"/>
        <v>0.70000000000000018</v>
      </c>
      <c r="I261" s="430">
        <f t="shared" si="88"/>
        <v>11.8</v>
      </c>
      <c r="J261" s="430">
        <f t="shared" si="88"/>
        <v>0.15000000000000013</v>
      </c>
      <c r="K261" s="430">
        <f t="shared" si="88"/>
        <v>0</v>
      </c>
      <c r="L261" s="430">
        <f t="shared" si="88"/>
        <v>0</v>
      </c>
      <c r="M261" s="430">
        <f t="shared" si="88"/>
        <v>0</v>
      </c>
      <c r="N261" s="430">
        <f t="shared" si="88"/>
        <v>0</v>
      </c>
      <c r="O261" s="430">
        <f t="shared" si="88"/>
        <v>0</v>
      </c>
      <c r="P261" s="430">
        <f t="shared" si="88"/>
        <v>0</v>
      </c>
      <c r="Q261" s="430">
        <f t="shared" si="88"/>
        <v>0</v>
      </c>
      <c r="R261" s="430">
        <f t="shared" si="88"/>
        <v>0</v>
      </c>
      <c r="S261" s="430">
        <f t="shared" si="88"/>
        <v>0</v>
      </c>
      <c r="T261" s="430">
        <f t="shared" si="88"/>
        <v>0</v>
      </c>
      <c r="U261" s="430">
        <f t="shared" si="88"/>
        <v>0</v>
      </c>
      <c r="V261" s="430">
        <f t="shared" si="88"/>
        <v>0</v>
      </c>
      <c r="W261" s="430">
        <f>(X260+W260)*(X259-W259)/2</f>
        <v>0</v>
      </c>
      <c r="X261" s="430">
        <f>(Y260+X260)*(Y259-X259)/2</f>
        <v>0</v>
      </c>
      <c r="Y261" s="424"/>
    </row>
    <row r="262" spans="1:25" ht="13.8" thickBot="1" x14ac:dyDescent="0.3">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3.8" thickBot="1" x14ac:dyDescent="0.3">
      <c r="A263" s="416" t="s">
        <v>276</v>
      </c>
      <c r="B263" s="414">
        <f>ROW(A263)</f>
        <v>263</v>
      </c>
      <c r="C263" s="418" t="s">
        <v>116</v>
      </c>
      <c r="D263" s="408">
        <f>SUM(B266:Y266)</f>
        <v>145.46</v>
      </c>
      <c r="E263" s="418" t="s">
        <v>115</v>
      </c>
      <c r="F263" s="409">
        <f>D263/g/J263</f>
        <v>211.82466870540264</v>
      </c>
      <c r="G263" s="418" t="s">
        <v>57</v>
      </c>
      <c r="H263" s="86">
        <v>0.22</v>
      </c>
      <c r="I263" s="418" t="s">
        <v>272</v>
      </c>
      <c r="J263" s="410">
        <f>H263-L263</f>
        <v>7.0000000000000007E-2</v>
      </c>
      <c r="K263" s="418" t="s">
        <v>273</v>
      </c>
      <c r="L263" s="86">
        <v>0.15</v>
      </c>
      <c r="M263" s="418" t="s">
        <v>58</v>
      </c>
      <c r="N263" s="87">
        <v>50</v>
      </c>
      <c r="O263" s="418" t="s">
        <v>60</v>
      </c>
      <c r="P263" s="87">
        <v>55</v>
      </c>
      <c r="Q263" s="418" t="s">
        <v>61</v>
      </c>
      <c r="R263" s="87">
        <v>76</v>
      </c>
      <c r="S263" s="418" t="s">
        <v>62</v>
      </c>
      <c r="T263" s="87">
        <v>40</v>
      </c>
      <c r="U263" s="418" t="s">
        <v>55</v>
      </c>
      <c r="V263" s="88" t="s">
        <v>403</v>
      </c>
      <c r="W263" s="17"/>
      <c r="X263" s="17"/>
      <c r="Y263" s="17"/>
    </row>
    <row r="264" spans="1:25" x14ac:dyDescent="0.25">
      <c r="A264" s="417" t="s">
        <v>33</v>
      </c>
      <c r="B264" s="425">
        <v>0</v>
      </c>
      <c r="C264" s="426">
        <v>0.02</v>
      </c>
      <c r="D264" s="426">
        <v>0.04</v>
      </c>
      <c r="E264" s="426">
        <v>0.05</v>
      </c>
      <c r="F264" s="426">
        <v>0.06</v>
      </c>
      <c r="G264" s="426">
        <v>0.94</v>
      </c>
      <c r="H264" s="432">
        <v>0.94200000000000006</v>
      </c>
      <c r="I264" s="426">
        <v>0.95</v>
      </c>
      <c r="J264" s="426">
        <v>0.95</v>
      </c>
      <c r="K264" s="426">
        <v>0.95</v>
      </c>
      <c r="L264" s="426">
        <v>0.95</v>
      </c>
      <c r="M264" s="426">
        <v>0.95</v>
      </c>
      <c r="N264" s="426">
        <v>0.95</v>
      </c>
      <c r="O264" s="426">
        <v>0.95</v>
      </c>
      <c r="P264" s="426">
        <v>0.95</v>
      </c>
      <c r="Q264" s="426">
        <v>0.95</v>
      </c>
      <c r="R264" s="426">
        <v>0.95</v>
      </c>
      <c r="S264" s="426">
        <v>0.95</v>
      </c>
      <c r="T264" s="426">
        <v>0.95</v>
      </c>
      <c r="U264" s="426">
        <v>0.95</v>
      </c>
      <c r="V264" s="426">
        <v>0.95</v>
      </c>
      <c r="W264" s="426">
        <v>0.95</v>
      </c>
      <c r="X264" s="426">
        <v>2</v>
      </c>
      <c r="Y264" s="437">
        <v>1000</v>
      </c>
    </row>
    <row r="265" spans="1:25" x14ac:dyDescent="0.25">
      <c r="A265" s="434" t="s">
        <v>34</v>
      </c>
      <c r="B265" s="427">
        <v>0</v>
      </c>
      <c r="C265" s="428">
        <v>320</v>
      </c>
      <c r="D265" s="428">
        <v>170</v>
      </c>
      <c r="E265" s="428">
        <v>205</v>
      </c>
      <c r="F265" s="428">
        <v>217</v>
      </c>
      <c r="G265" s="428">
        <v>85</v>
      </c>
      <c r="H265" s="428">
        <v>82</v>
      </c>
      <c r="I265" s="428">
        <v>0</v>
      </c>
      <c r="J265" s="428">
        <v>0</v>
      </c>
      <c r="K265" s="428">
        <v>0</v>
      </c>
      <c r="L265" s="428">
        <v>0</v>
      </c>
      <c r="M265" s="428">
        <v>0</v>
      </c>
      <c r="N265" s="428">
        <v>0</v>
      </c>
      <c r="O265" s="428">
        <v>0</v>
      </c>
      <c r="P265" s="428">
        <v>0</v>
      </c>
      <c r="Q265" s="428">
        <v>0</v>
      </c>
      <c r="R265" s="428">
        <v>0</v>
      </c>
      <c r="S265" s="428">
        <v>0</v>
      </c>
      <c r="T265" s="428">
        <v>0</v>
      </c>
      <c r="U265" s="428">
        <v>0</v>
      </c>
      <c r="V265" s="428">
        <v>0</v>
      </c>
      <c r="W265" s="428">
        <v>0</v>
      </c>
      <c r="X265" s="428">
        <v>0</v>
      </c>
      <c r="Y265" s="438">
        <v>0</v>
      </c>
    </row>
    <row r="266" spans="1:25" ht="13.8" thickBot="1" x14ac:dyDescent="0.3">
      <c r="A266" s="435" t="s">
        <v>117</v>
      </c>
      <c r="B266" s="429">
        <f t="shared" ref="B266:H266" si="89">(C265+B265)*(C264-B264)/2</f>
        <v>3.2</v>
      </c>
      <c r="C266" s="430">
        <f t="shared" si="89"/>
        <v>4.9000000000000004</v>
      </c>
      <c r="D266" s="430">
        <f t="shared" si="89"/>
        <v>1.8750000000000004</v>
      </c>
      <c r="E266" s="430">
        <f t="shared" si="89"/>
        <v>2.109999999999999</v>
      </c>
      <c r="F266" s="430">
        <f t="shared" si="89"/>
        <v>132.88</v>
      </c>
      <c r="G266" s="430">
        <f t="shared" si="89"/>
        <v>0.16700000000000942</v>
      </c>
      <c r="H266" s="430">
        <f t="shared" si="89"/>
        <v>0.32799999999999574</v>
      </c>
      <c r="I266" s="430">
        <f t="shared" ref="I266:V266" si="90">(J265+I265)*(J264-I264)/2</f>
        <v>0</v>
      </c>
      <c r="J266" s="430">
        <f>(K265+J265)*(K264-J264)/2</f>
        <v>0</v>
      </c>
      <c r="K266" s="430">
        <f t="shared" si="90"/>
        <v>0</v>
      </c>
      <c r="L266" s="430">
        <f t="shared" si="90"/>
        <v>0</v>
      </c>
      <c r="M266" s="430">
        <f t="shared" si="90"/>
        <v>0</v>
      </c>
      <c r="N266" s="430">
        <f t="shared" si="90"/>
        <v>0</v>
      </c>
      <c r="O266" s="430">
        <f t="shared" si="90"/>
        <v>0</v>
      </c>
      <c r="P266" s="430">
        <f t="shared" si="90"/>
        <v>0</v>
      </c>
      <c r="Q266" s="430">
        <f t="shared" si="90"/>
        <v>0</v>
      </c>
      <c r="R266" s="430">
        <f t="shared" si="90"/>
        <v>0</v>
      </c>
      <c r="S266" s="430">
        <f>(T265+S265)*(T264-S264)/2</f>
        <v>0</v>
      </c>
      <c r="T266" s="430">
        <f t="shared" si="90"/>
        <v>0</v>
      </c>
      <c r="U266" s="430">
        <f t="shared" si="90"/>
        <v>0</v>
      </c>
      <c r="V266" s="430">
        <f t="shared" si="90"/>
        <v>0</v>
      </c>
      <c r="W266" s="430">
        <f>(X265+W265)*(X264-W264)/2</f>
        <v>0</v>
      </c>
      <c r="X266" s="430">
        <f>(Y265+X265)*(Y264-X264)/2</f>
        <v>0</v>
      </c>
      <c r="Y266" s="424"/>
    </row>
    <row r="267" spans="1:25" x14ac:dyDescent="0.25">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spans="1:25" ht="13.8" thickBot="1" x14ac:dyDescent="0.3">
      <c r="A268" s="492" t="s">
        <v>314</v>
      </c>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spans="1:25" ht="13.8" thickBot="1" x14ac:dyDescent="0.3">
      <c r="A269" s="416" t="s">
        <v>35</v>
      </c>
      <c r="B269" s="414">
        <f>ROW(A269)</f>
        <v>269</v>
      </c>
      <c r="C269" s="418" t="s">
        <v>116</v>
      </c>
      <c r="D269" s="408">
        <f>SUM(B272:Y272)</f>
        <v>1071.5999999999999</v>
      </c>
      <c r="E269" s="418" t="s">
        <v>115</v>
      </c>
      <c r="F269" s="409">
        <f>D269/g/J269</f>
        <v>163.03802090465106</v>
      </c>
      <c r="G269" s="418" t="s">
        <v>57</v>
      </c>
      <c r="H269" s="86">
        <v>2.02</v>
      </c>
      <c r="I269" s="418" t="s">
        <v>272</v>
      </c>
      <c r="J269" s="410">
        <f>H269-L269</f>
        <v>0.66999999999999993</v>
      </c>
      <c r="K269" s="418" t="s">
        <v>273</v>
      </c>
      <c r="L269" s="86">
        <v>1.35</v>
      </c>
      <c r="M269" s="418" t="s">
        <v>58</v>
      </c>
      <c r="N269" s="87">
        <v>154</v>
      </c>
      <c r="O269" s="418" t="s">
        <v>60</v>
      </c>
      <c r="P269" s="87">
        <v>168</v>
      </c>
      <c r="Q269" s="418" t="s">
        <v>61</v>
      </c>
      <c r="R269" s="87">
        <v>230</v>
      </c>
      <c r="S269" s="418" t="s">
        <v>62</v>
      </c>
      <c r="T269" s="87">
        <v>67</v>
      </c>
      <c r="U269" s="418" t="s">
        <v>55</v>
      </c>
      <c r="V269" s="88" t="s">
        <v>119</v>
      </c>
      <c r="W269" s="17"/>
      <c r="X269" s="17"/>
      <c r="Y269" s="17"/>
    </row>
    <row r="270" spans="1:25" x14ac:dyDescent="0.25">
      <c r="A270" s="417" t="s">
        <v>33</v>
      </c>
      <c r="B270" s="425">
        <v>0</v>
      </c>
      <c r="C270" s="426">
        <v>0.02</v>
      </c>
      <c r="D270" s="426">
        <v>0.05</v>
      </c>
      <c r="E270" s="426">
        <v>0.06</v>
      </c>
      <c r="F270" s="426">
        <v>0.09</v>
      </c>
      <c r="G270" s="426">
        <v>0.17</v>
      </c>
      <c r="H270" s="426">
        <v>0.2</v>
      </c>
      <c r="I270" s="426">
        <v>0.38</v>
      </c>
      <c r="J270" s="426">
        <v>0.75</v>
      </c>
      <c r="K270" s="426">
        <v>0.79</v>
      </c>
      <c r="L270" s="426">
        <v>1.1299999999999999</v>
      </c>
      <c r="M270" s="426">
        <v>1.2</v>
      </c>
      <c r="N270" s="426">
        <v>1.5</v>
      </c>
      <c r="O270" s="426">
        <v>1.54</v>
      </c>
      <c r="P270" s="426">
        <v>1.65</v>
      </c>
      <c r="Q270" s="426">
        <v>1.7</v>
      </c>
      <c r="R270" s="426">
        <v>1.79</v>
      </c>
      <c r="S270" s="426">
        <v>1.79</v>
      </c>
      <c r="T270" s="426">
        <v>1.79</v>
      </c>
      <c r="U270" s="426">
        <v>1.79</v>
      </c>
      <c r="V270" s="426">
        <v>1.79</v>
      </c>
      <c r="W270" s="426">
        <v>1.79</v>
      </c>
      <c r="X270" s="426">
        <v>1.79</v>
      </c>
      <c r="Y270" s="437">
        <v>1000</v>
      </c>
    </row>
    <row r="271" spans="1:25" x14ac:dyDescent="0.25">
      <c r="A271" s="434" t="s">
        <v>34</v>
      </c>
      <c r="B271" s="427">
        <v>0</v>
      </c>
      <c r="C271" s="428">
        <v>20</v>
      </c>
      <c r="D271" s="428">
        <v>870</v>
      </c>
      <c r="E271" s="428">
        <v>530</v>
      </c>
      <c r="F271" s="428">
        <v>790</v>
      </c>
      <c r="G271" s="428">
        <v>700</v>
      </c>
      <c r="H271" s="428">
        <v>710</v>
      </c>
      <c r="I271" s="428">
        <v>670</v>
      </c>
      <c r="J271" s="428">
        <v>630</v>
      </c>
      <c r="K271" s="428">
        <v>630</v>
      </c>
      <c r="L271" s="433">
        <v>710</v>
      </c>
      <c r="M271" s="433">
        <v>690</v>
      </c>
      <c r="N271" s="433">
        <v>690</v>
      </c>
      <c r="O271" s="433">
        <v>660</v>
      </c>
      <c r="P271" s="433">
        <v>160</v>
      </c>
      <c r="Q271" s="433">
        <v>10</v>
      </c>
      <c r="R271" s="433">
        <v>0</v>
      </c>
      <c r="S271" s="433">
        <v>0</v>
      </c>
      <c r="T271" s="433">
        <v>0</v>
      </c>
      <c r="U271" s="433">
        <v>0</v>
      </c>
      <c r="V271" s="433">
        <v>0</v>
      </c>
      <c r="W271" s="433">
        <v>0</v>
      </c>
      <c r="X271" s="433">
        <v>0</v>
      </c>
      <c r="Y271" s="439">
        <v>0</v>
      </c>
    </row>
    <row r="272" spans="1:25" ht="13.8" thickBot="1" x14ac:dyDescent="0.3">
      <c r="A272" s="435" t="s">
        <v>117</v>
      </c>
      <c r="B272" s="429">
        <f t="shared" ref="B272:Q272" si="91">(C271+B271)*(C270-B270)/2</f>
        <v>0.2</v>
      </c>
      <c r="C272" s="430">
        <f t="shared" si="91"/>
        <v>13.350000000000001</v>
      </c>
      <c r="D272" s="430">
        <f t="shared" si="91"/>
        <v>6.9999999999999964</v>
      </c>
      <c r="E272" s="430">
        <f t="shared" si="91"/>
        <v>19.8</v>
      </c>
      <c r="F272" s="430">
        <f t="shared" si="91"/>
        <v>59.600000000000009</v>
      </c>
      <c r="G272" s="430">
        <f t="shared" si="91"/>
        <v>21.15</v>
      </c>
      <c r="H272" s="430">
        <f t="shared" si="91"/>
        <v>124.19999999999999</v>
      </c>
      <c r="I272" s="430">
        <f t="shared" si="91"/>
        <v>240.5</v>
      </c>
      <c r="J272" s="430">
        <f>(K271+J271)*(K270-J270)/2</f>
        <v>25.200000000000024</v>
      </c>
      <c r="K272" s="430">
        <f t="shared" si="91"/>
        <v>227.7999999999999</v>
      </c>
      <c r="L272" s="430">
        <f t="shared" si="91"/>
        <v>49.000000000000043</v>
      </c>
      <c r="M272" s="430">
        <f t="shared" si="91"/>
        <v>207.00000000000003</v>
      </c>
      <c r="N272" s="430">
        <f t="shared" si="91"/>
        <v>27.000000000000025</v>
      </c>
      <c r="O272" s="430">
        <f t="shared" si="91"/>
        <v>45.099999999999952</v>
      </c>
      <c r="P272" s="430">
        <f t="shared" si="91"/>
        <v>4.2500000000000036</v>
      </c>
      <c r="Q272" s="430">
        <f t="shared" si="91"/>
        <v>0.4500000000000004</v>
      </c>
      <c r="R272" s="430">
        <f t="shared" ref="R272:X272" si="92">(S271+R271)*(S270-R270)/2</f>
        <v>0</v>
      </c>
      <c r="S272" s="430">
        <f t="shared" si="92"/>
        <v>0</v>
      </c>
      <c r="T272" s="430">
        <f t="shared" si="92"/>
        <v>0</v>
      </c>
      <c r="U272" s="430">
        <f t="shared" si="92"/>
        <v>0</v>
      </c>
      <c r="V272" s="430">
        <f t="shared" si="92"/>
        <v>0</v>
      </c>
      <c r="W272" s="430">
        <f t="shared" si="92"/>
        <v>0</v>
      </c>
      <c r="X272" s="430">
        <f t="shared" si="92"/>
        <v>0</v>
      </c>
      <c r="Y272" s="440"/>
    </row>
    <row r="273" spans="1:25" ht="13.8" thickBot="1" x14ac:dyDescent="0.3">
      <c r="S273" s="17"/>
      <c r="T273" s="17"/>
      <c r="U273" s="17"/>
      <c r="V273" s="17"/>
      <c r="W273" s="112"/>
      <c r="X273" s="112"/>
      <c r="Y273" s="17"/>
    </row>
    <row r="274" spans="1:25" ht="13.8" thickBot="1" x14ac:dyDescent="0.3">
      <c r="A274" s="416" t="s">
        <v>36</v>
      </c>
      <c r="B274" s="414">
        <f>ROW(A274)</f>
        <v>274</v>
      </c>
      <c r="C274" s="418" t="s">
        <v>116</v>
      </c>
      <c r="D274" s="408">
        <f>SUM(B277:Y277)</f>
        <v>2102.35</v>
      </c>
      <c r="E274" s="418" t="s">
        <v>115</v>
      </c>
      <c r="F274" s="409">
        <f>D274/g/J274</f>
        <v>174.23319493133766</v>
      </c>
      <c r="G274" s="418" t="s">
        <v>57</v>
      </c>
      <c r="H274" s="86">
        <v>3.7</v>
      </c>
      <c r="I274" s="418" t="s">
        <v>272</v>
      </c>
      <c r="J274" s="410">
        <f>H274-L274</f>
        <v>1.23</v>
      </c>
      <c r="K274" s="418" t="s">
        <v>273</v>
      </c>
      <c r="L274" s="86">
        <v>2.4700000000000002</v>
      </c>
      <c r="M274" s="418" t="s">
        <v>58</v>
      </c>
      <c r="N274" s="87">
        <v>151</v>
      </c>
      <c r="O274" s="418" t="s">
        <v>60</v>
      </c>
      <c r="P274" s="87">
        <v>171</v>
      </c>
      <c r="Q274" s="418" t="s">
        <v>61</v>
      </c>
      <c r="R274" s="87">
        <v>247</v>
      </c>
      <c r="S274" s="418" t="s">
        <v>62</v>
      </c>
      <c r="T274" s="87">
        <v>90</v>
      </c>
      <c r="U274" s="418" t="s">
        <v>55</v>
      </c>
      <c r="V274" s="88" t="s">
        <v>119</v>
      </c>
      <c r="W274" s="17"/>
      <c r="X274" s="17"/>
      <c r="Y274" s="17"/>
    </row>
    <row r="275" spans="1:25" x14ac:dyDescent="0.25">
      <c r="A275" s="417" t="s">
        <v>33</v>
      </c>
      <c r="B275" s="425">
        <v>0</v>
      </c>
      <c r="C275" s="426">
        <v>0.05</v>
      </c>
      <c r="D275" s="426">
        <v>0.1</v>
      </c>
      <c r="E275" s="426">
        <v>1</v>
      </c>
      <c r="F275" s="426">
        <v>1.35</v>
      </c>
      <c r="G275" s="426">
        <v>1.75</v>
      </c>
      <c r="H275" s="426">
        <v>2.15</v>
      </c>
      <c r="I275" s="426">
        <v>2.25</v>
      </c>
      <c r="J275" s="426">
        <v>2.48</v>
      </c>
      <c r="K275" s="426">
        <v>2.6</v>
      </c>
      <c r="L275" s="426">
        <v>2.8</v>
      </c>
      <c r="M275" s="426">
        <v>2.8</v>
      </c>
      <c r="N275" s="426">
        <v>2.8</v>
      </c>
      <c r="O275" s="426">
        <v>2.8</v>
      </c>
      <c r="P275" s="426">
        <v>2.8</v>
      </c>
      <c r="Q275" s="426">
        <v>2.8</v>
      </c>
      <c r="R275" s="426">
        <v>2.8</v>
      </c>
      <c r="S275" s="426">
        <v>2.8</v>
      </c>
      <c r="T275" s="426">
        <v>2.8</v>
      </c>
      <c r="U275" s="426">
        <v>2.8</v>
      </c>
      <c r="V275" s="426">
        <v>2.8</v>
      </c>
      <c r="W275" s="426">
        <v>2.8</v>
      </c>
      <c r="X275" s="426">
        <v>2.8</v>
      </c>
      <c r="Y275" s="437">
        <v>1000</v>
      </c>
    </row>
    <row r="276" spans="1:25" x14ac:dyDescent="0.25">
      <c r="A276" s="434" t="s">
        <v>34</v>
      </c>
      <c r="B276" s="427">
        <v>0</v>
      </c>
      <c r="C276" s="428">
        <v>860</v>
      </c>
      <c r="D276" s="428">
        <v>840</v>
      </c>
      <c r="E276" s="428">
        <v>840</v>
      </c>
      <c r="F276" s="428">
        <v>850</v>
      </c>
      <c r="G276" s="428">
        <v>900</v>
      </c>
      <c r="H276" s="428">
        <v>1050</v>
      </c>
      <c r="I276" s="428">
        <v>1020</v>
      </c>
      <c r="J276" s="428">
        <v>120</v>
      </c>
      <c r="K276" s="428">
        <v>30</v>
      </c>
      <c r="L276" s="428">
        <v>0</v>
      </c>
      <c r="M276" s="428">
        <v>0</v>
      </c>
      <c r="N276" s="428">
        <v>0</v>
      </c>
      <c r="O276" s="428">
        <v>0</v>
      </c>
      <c r="P276" s="428">
        <v>0</v>
      </c>
      <c r="Q276" s="428">
        <v>0</v>
      </c>
      <c r="R276" s="428">
        <v>0</v>
      </c>
      <c r="S276" s="428">
        <v>0</v>
      </c>
      <c r="T276" s="428">
        <v>0</v>
      </c>
      <c r="U276" s="428">
        <v>0</v>
      </c>
      <c r="V276" s="428">
        <v>0</v>
      </c>
      <c r="W276" s="428">
        <v>0</v>
      </c>
      <c r="X276" s="428">
        <v>0</v>
      </c>
      <c r="Y276" s="438">
        <v>0</v>
      </c>
    </row>
    <row r="277" spans="1:25" ht="13.8" thickBot="1" x14ac:dyDescent="0.3">
      <c r="A277" s="435" t="s">
        <v>117</v>
      </c>
      <c r="B277" s="429">
        <f t="shared" ref="B277:K277" si="93">(C276+B276)*(C275-B275)/2</f>
        <v>21.5</v>
      </c>
      <c r="C277" s="430">
        <f t="shared" si="93"/>
        <v>42.5</v>
      </c>
      <c r="D277" s="430">
        <f t="shared" si="93"/>
        <v>756</v>
      </c>
      <c r="E277" s="430">
        <f t="shared" si="93"/>
        <v>295.75000000000006</v>
      </c>
      <c r="F277" s="430">
        <f t="shared" si="93"/>
        <v>349.99999999999994</v>
      </c>
      <c r="G277" s="430">
        <f t="shared" si="93"/>
        <v>389.99999999999989</v>
      </c>
      <c r="H277" s="430">
        <f t="shared" si="93"/>
        <v>103.50000000000009</v>
      </c>
      <c r="I277" s="430">
        <f t="shared" si="93"/>
        <v>131.1</v>
      </c>
      <c r="J277" s="430">
        <f>(K276+J276)*(K275-J275)/2</f>
        <v>9.0000000000000071</v>
      </c>
      <c r="K277" s="430">
        <f t="shared" si="93"/>
        <v>2.999999999999996</v>
      </c>
      <c r="L277" s="430">
        <f t="shared" ref="L277:V277" si="94">(M276+L276)*(M275-L275)/2</f>
        <v>0</v>
      </c>
      <c r="M277" s="430">
        <f t="shared" si="94"/>
        <v>0</v>
      </c>
      <c r="N277" s="430">
        <f t="shared" si="94"/>
        <v>0</v>
      </c>
      <c r="O277" s="430">
        <f t="shared" si="94"/>
        <v>0</v>
      </c>
      <c r="P277" s="430">
        <f t="shared" si="94"/>
        <v>0</v>
      </c>
      <c r="Q277" s="430">
        <f t="shared" si="94"/>
        <v>0</v>
      </c>
      <c r="R277" s="430">
        <f t="shared" si="94"/>
        <v>0</v>
      </c>
      <c r="S277" s="430">
        <f>(T276+S276)*(T275-S275)/2</f>
        <v>0</v>
      </c>
      <c r="T277" s="430">
        <f t="shared" si="94"/>
        <v>0</v>
      </c>
      <c r="U277" s="430">
        <f t="shared" si="94"/>
        <v>0</v>
      </c>
      <c r="V277" s="430">
        <f t="shared" si="94"/>
        <v>0</v>
      </c>
      <c r="W277" s="430">
        <f>(X276+W276)*(X275-W275)/2</f>
        <v>0</v>
      </c>
      <c r="X277" s="430">
        <f>(Y276+X276)*(Y275-X275)/2</f>
        <v>0</v>
      </c>
      <c r="Y277" s="424"/>
    </row>
    <row r="278" spans="1:25" ht="13.8" thickBot="1" x14ac:dyDescent="0.3"/>
    <row r="279" spans="1:25" ht="13.8" thickBot="1" x14ac:dyDescent="0.3">
      <c r="A279" s="416" t="s">
        <v>554</v>
      </c>
      <c r="B279" s="414">
        <f>ROW(A279)</f>
        <v>279</v>
      </c>
      <c r="C279" s="418" t="s">
        <v>116</v>
      </c>
      <c r="D279" s="408">
        <f>SUM(B282:Y282)</f>
        <v>2058.37</v>
      </c>
      <c r="E279" s="418" t="s">
        <v>115</v>
      </c>
      <c r="F279" s="409">
        <f>D279/g/J279</f>
        <v>203.12066731598335</v>
      </c>
      <c r="G279" s="418" t="s">
        <v>57</v>
      </c>
      <c r="H279" s="86">
        <v>1.6850000000000001</v>
      </c>
      <c r="I279" s="418" t="s">
        <v>272</v>
      </c>
      <c r="J279" s="410">
        <f>H279-L279</f>
        <v>1.0329999999999999</v>
      </c>
      <c r="K279" s="418" t="s">
        <v>273</v>
      </c>
      <c r="L279" s="86">
        <v>0.65200000000000002</v>
      </c>
      <c r="M279" s="418" t="s">
        <v>58</v>
      </c>
      <c r="N279" s="87">
        <v>250</v>
      </c>
      <c r="O279" s="418" t="s">
        <v>60</v>
      </c>
      <c r="P279" s="87">
        <v>240</v>
      </c>
      <c r="Q279" s="418" t="s">
        <v>61</v>
      </c>
      <c r="R279" s="87">
        <v>488</v>
      </c>
      <c r="S279" s="418" t="s">
        <v>62</v>
      </c>
      <c r="T279" s="87">
        <v>54</v>
      </c>
      <c r="U279" s="418" t="s">
        <v>55</v>
      </c>
      <c r="V279" s="88" t="s">
        <v>119</v>
      </c>
      <c r="W279" s="17"/>
      <c r="X279" s="17"/>
      <c r="Y279" s="17"/>
    </row>
    <row r="280" spans="1:25" x14ac:dyDescent="0.25">
      <c r="A280" s="417" t="s">
        <v>33</v>
      </c>
      <c r="B280" s="425">
        <v>0</v>
      </c>
      <c r="C280" s="426">
        <v>0.05</v>
      </c>
      <c r="D280" s="426">
        <v>0.5</v>
      </c>
      <c r="E280" s="426">
        <v>1</v>
      </c>
      <c r="F280" s="426">
        <v>1.5</v>
      </c>
      <c r="G280" s="426">
        <v>2</v>
      </c>
      <c r="H280" s="426">
        <v>2.5</v>
      </c>
      <c r="I280" s="426">
        <v>2.97</v>
      </c>
      <c r="J280" s="426">
        <v>3.2</v>
      </c>
      <c r="K280" s="426">
        <v>3.47</v>
      </c>
      <c r="L280" s="426">
        <v>3.59</v>
      </c>
      <c r="M280" s="426">
        <v>3.59</v>
      </c>
      <c r="N280" s="426">
        <v>3.59</v>
      </c>
      <c r="O280" s="426">
        <v>3.59</v>
      </c>
      <c r="P280" s="426">
        <v>3.59</v>
      </c>
      <c r="Q280" s="426">
        <v>3.59</v>
      </c>
      <c r="R280" s="426">
        <v>3.59</v>
      </c>
      <c r="S280" s="426">
        <v>3.59</v>
      </c>
      <c r="T280" s="426">
        <v>3.59</v>
      </c>
      <c r="U280" s="426">
        <v>3.59</v>
      </c>
      <c r="V280" s="426">
        <v>3.59</v>
      </c>
      <c r="W280" s="426">
        <v>3.59</v>
      </c>
      <c r="X280" s="426">
        <v>3.59</v>
      </c>
      <c r="Y280" s="437">
        <v>1000</v>
      </c>
    </row>
    <row r="281" spans="1:25" x14ac:dyDescent="0.25">
      <c r="A281" s="434" t="s">
        <v>34</v>
      </c>
      <c r="B281" s="427">
        <v>0</v>
      </c>
      <c r="C281" s="428">
        <v>893</v>
      </c>
      <c r="D281" s="428">
        <v>798</v>
      </c>
      <c r="E281" s="428">
        <v>739</v>
      </c>
      <c r="F281" s="428">
        <v>659</v>
      </c>
      <c r="G281" s="428">
        <v>586</v>
      </c>
      <c r="H281" s="428">
        <v>513</v>
      </c>
      <c r="I281" s="428">
        <v>417</v>
      </c>
      <c r="J281" s="428">
        <v>225</v>
      </c>
      <c r="K281" s="428">
        <v>67</v>
      </c>
      <c r="L281" s="428">
        <v>0</v>
      </c>
      <c r="M281" s="428">
        <v>0</v>
      </c>
      <c r="N281" s="428">
        <v>0</v>
      </c>
      <c r="O281" s="428">
        <v>0</v>
      </c>
      <c r="P281" s="428">
        <v>0</v>
      </c>
      <c r="Q281" s="428">
        <v>0</v>
      </c>
      <c r="R281" s="428">
        <v>0</v>
      </c>
      <c r="S281" s="428">
        <v>0</v>
      </c>
      <c r="T281" s="428">
        <v>0</v>
      </c>
      <c r="U281" s="428">
        <v>0</v>
      </c>
      <c r="V281" s="428">
        <v>0</v>
      </c>
      <c r="W281" s="428">
        <v>0</v>
      </c>
      <c r="X281" s="428">
        <v>0</v>
      </c>
      <c r="Y281" s="438">
        <v>0</v>
      </c>
    </row>
    <row r="282" spans="1:25" ht="13.8" thickBot="1" x14ac:dyDescent="0.3">
      <c r="A282" s="436" t="s">
        <v>117</v>
      </c>
      <c r="B282" s="429">
        <f t="shared" ref="B282:V282" si="95">(C281+B281)*(C280-B280)/2</f>
        <v>22.325000000000003</v>
      </c>
      <c r="C282" s="430">
        <f t="shared" si="95"/>
        <v>380.47500000000002</v>
      </c>
      <c r="D282" s="430">
        <f t="shared" si="95"/>
        <v>384.25</v>
      </c>
      <c r="E282" s="430">
        <f t="shared" si="95"/>
        <v>349.5</v>
      </c>
      <c r="F282" s="430">
        <f t="shared" si="95"/>
        <v>311.25</v>
      </c>
      <c r="G282" s="430">
        <f t="shared" si="95"/>
        <v>274.75</v>
      </c>
      <c r="H282" s="430">
        <f t="shared" si="95"/>
        <v>218.5500000000001</v>
      </c>
      <c r="I282" s="430">
        <f t="shared" si="95"/>
        <v>73.83</v>
      </c>
      <c r="J282" s="430">
        <f>(K281+J281)*(K280-J280)/2</f>
        <v>39.42</v>
      </c>
      <c r="K282" s="430">
        <f t="shared" si="95"/>
        <v>4.0199999999999889</v>
      </c>
      <c r="L282" s="430">
        <f t="shared" si="95"/>
        <v>0</v>
      </c>
      <c r="M282" s="430">
        <f t="shared" si="95"/>
        <v>0</v>
      </c>
      <c r="N282" s="430">
        <f t="shared" si="95"/>
        <v>0</v>
      </c>
      <c r="O282" s="430">
        <f t="shared" si="95"/>
        <v>0</v>
      </c>
      <c r="P282" s="430">
        <f t="shared" si="95"/>
        <v>0</v>
      </c>
      <c r="Q282" s="430">
        <f t="shared" si="95"/>
        <v>0</v>
      </c>
      <c r="R282" s="430">
        <f t="shared" si="95"/>
        <v>0</v>
      </c>
      <c r="S282" s="430">
        <f>(T281+S281)*(T280-S280)/2</f>
        <v>0</v>
      </c>
      <c r="T282" s="430">
        <f t="shared" si="95"/>
        <v>0</v>
      </c>
      <c r="U282" s="430">
        <f t="shared" si="95"/>
        <v>0</v>
      </c>
      <c r="V282" s="430">
        <f t="shared" si="95"/>
        <v>0</v>
      </c>
      <c r="W282" s="430">
        <f>(X281+W281)*(X280-W280)/2</f>
        <v>0</v>
      </c>
      <c r="X282" s="430">
        <f>(Y281+X281)*(Y280-X280)/2</f>
        <v>0</v>
      </c>
      <c r="Y282" s="424"/>
    </row>
    <row r="283" spans="1:25" ht="13.8" thickBot="1" x14ac:dyDescent="0.3">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spans="1:25" ht="13.8" thickBot="1" x14ac:dyDescent="0.3">
      <c r="A284" s="416" t="s">
        <v>37</v>
      </c>
      <c r="B284" s="414">
        <f>ROW(A284)</f>
        <v>284</v>
      </c>
      <c r="C284" s="418" t="s">
        <v>116</v>
      </c>
      <c r="D284" s="408">
        <f>SUM(B287:Y287)</f>
        <v>2486.041999999999</v>
      </c>
      <c r="E284" s="418" t="s">
        <v>115</v>
      </c>
      <c r="F284" s="409">
        <f>D284/g/J284</f>
        <v>199.54264891200521</v>
      </c>
      <c r="G284" s="418" t="s">
        <v>57</v>
      </c>
      <c r="H284" s="86">
        <v>2.59</v>
      </c>
      <c r="I284" s="418" t="s">
        <v>272</v>
      </c>
      <c r="J284" s="410">
        <f>H284-L284</f>
        <v>1.2699999999999998</v>
      </c>
      <c r="K284" s="418" t="s">
        <v>273</v>
      </c>
      <c r="L284" s="86">
        <v>1.32</v>
      </c>
      <c r="M284" s="418" t="s">
        <v>58</v>
      </c>
      <c r="N284" s="87">
        <v>175</v>
      </c>
      <c r="O284" s="418" t="s">
        <v>60</v>
      </c>
      <c r="P284" s="87">
        <v>175</v>
      </c>
      <c r="Q284" s="418" t="s">
        <v>61</v>
      </c>
      <c r="R284" s="87">
        <v>350</v>
      </c>
      <c r="S284" s="418" t="s">
        <v>62</v>
      </c>
      <c r="T284" s="87">
        <v>75</v>
      </c>
      <c r="U284" s="418" t="s">
        <v>55</v>
      </c>
      <c r="V284" s="88" t="s">
        <v>119</v>
      </c>
      <c r="W284" s="17"/>
      <c r="X284" s="17"/>
      <c r="Y284" s="17"/>
    </row>
    <row r="285" spans="1:25" x14ac:dyDescent="0.25">
      <c r="A285" s="417" t="s">
        <v>33</v>
      </c>
      <c r="B285" s="425">
        <v>0</v>
      </c>
      <c r="C285" s="426">
        <v>0.04</v>
      </c>
      <c r="D285" s="426">
        <v>7.0000000000000007E-2</v>
      </c>
      <c r="E285" s="426">
        <v>0.1</v>
      </c>
      <c r="F285" s="426">
        <v>0.21</v>
      </c>
      <c r="G285" s="426">
        <v>0.35</v>
      </c>
      <c r="H285" s="426">
        <v>0.53</v>
      </c>
      <c r="I285" s="426">
        <v>0.82</v>
      </c>
      <c r="J285" s="426">
        <v>1.18</v>
      </c>
      <c r="K285" s="426">
        <v>1.72</v>
      </c>
      <c r="L285" s="426">
        <v>2.15</v>
      </c>
      <c r="M285" s="426">
        <v>2.39</v>
      </c>
      <c r="N285" s="426">
        <v>2.9</v>
      </c>
      <c r="O285" s="426">
        <v>3.07</v>
      </c>
      <c r="P285" s="426">
        <v>3.56</v>
      </c>
      <c r="Q285" s="426">
        <v>3.98</v>
      </c>
      <c r="R285" s="426">
        <v>4.32</v>
      </c>
      <c r="S285" s="426">
        <v>4.4800000000000004</v>
      </c>
      <c r="T285" s="426">
        <v>4.5999999999999996</v>
      </c>
      <c r="U285" s="426">
        <v>4.6500000000000004</v>
      </c>
      <c r="V285" s="426">
        <v>4.8</v>
      </c>
      <c r="W285" s="426">
        <v>4.83</v>
      </c>
      <c r="X285" s="426">
        <v>4.84</v>
      </c>
      <c r="Y285" s="437">
        <v>1000</v>
      </c>
    </row>
    <row r="286" spans="1:25" x14ac:dyDescent="0.25">
      <c r="A286" s="434" t="s">
        <v>34</v>
      </c>
      <c r="B286" s="427">
        <v>0</v>
      </c>
      <c r="C286" s="428">
        <v>394.4</v>
      </c>
      <c r="D286" s="428">
        <v>617.70000000000005</v>
      </c>
      <c r="E286" s="428">
        <v>645.1</v>
      </c>
      <c r="F286" s="428">
        <v>658.2</v>
      </c>
      <c r="G286" s="428">
        <v>669.2</v>
      </c>
      <c r="H286" s="428">
        <v>667.7</v>
      </c>
      <c r="I286" s="428">
        <v>661.6</v>
      </c>
      <c r="J286" s="428">
        <v>626.9</v>
      </c>
      <c r="K286" s="428">
        <v>588.5</v>
      </c>
      <c r="L286" s="428">
        <v>557.70000000000005</v>
      </c>
      <c r="M286" s="428">
        <v>542.29999999999995</v>
      </c>
      <c r="N286" s="428">
        <v>492.9</v>
      </c>
      <c r="O286" s="428">
        <v>470.3</v>
      </c>
      <c r="P286" s="428">
        <v>426.8</v>
      </c>
      <c r="Q286" s="428">
        <v>399</v>
      </c>
      <c r="R286" s="428">
        <v>394</v>
      </c>
      <c r="S286" s="428">
        <v>380.6</v>
      </c>
      <c r="T286" s="428">
        <v>364.2</v>
      </c>
      <c r="U286" s="428">
        <v>290.89999999999998</v>
      </c>
      <c r="V286" s="428">
        <v>91.2</v>
      </c>
      <c r="W286" s="428">
        <v>45.8</v>
      </c>
      <c r="X286" s="428">
        <v>0</v>
      </c>
      <c r="Y286" s="438">
        <v>0</v>
      </c>
    </row>
    <row r="287" spans="1:25" ht="13.8" thickBot="1" x14ac:dyDescent="0.3">
      <c r="A287" s="435" t="s">
        <v>117</v>
      </c>
      <c r="B287" s="429">
        <f t="shared" ref="B287:V287" si="96">(C286+B286)*(C285-B285)/2</f>
        <v>7.8879999999999999</v>
      </c>
      <c r="C287" s="430">
        <f t="shared" si="96"/>
        <v>15.181500000000003</v>
      </c>
      <c r="D287" s="430">
        <f t="shared" si="96"/>
        <v>18.942000000000004</v>
      </c>
      <c r="E287" s="430">
        <f t="shared" si="96"/>
        <v>71.6815</v>
      </c>
      <c r="F287" s="430">
        <f t="shared" si="96"/>
        <v>92.917999999999992</v>
      </c>
      <c r="G287" s="430">
        <f t="shared" si="96"/>
        <v>120.32100000000004</v>
      </c>
      <c r="H287" s="430">
        <f t="shared" si="96"/>
        <v>192.74849999999998</v>
      </c>
      <c r="I287" s="430">
        <f t="shared" si="96"/>
        <v>231.92999999999998</v>
      </c>
      <c r="J287" s="430">
        <f>(K286+J286)*(K285-J285)/2</f>
        <v>328.15800000000007</v>
      </c>
      <c r="K287" s="430">
        <f t="shared" si="96"/>
        <v>246.43299999999996</v>
      </c>
      <c r="L287" s="430">
        <f t="shared" si="96"/>
        <v>132.00000000000011</v>
      </c>
      <c r="M287" s="430">
        <f t="shared" si="96"/>
        <v>263.97599999999983</v>
      </c>
      <c r="N287" s="430">
        <f t="shared" si="96"/>
        <v>81.871999999999971</v>
      </c>
      <c r="O287" s="430">
        <f t="shared" si="96"/>
        <v>219.78950000000009</v>
      </c>
      <c r="P287" s="430">
        <f t="shared" si="96"/>
        <v>173.41799999999995</v>
      </c>
      <c r="Q287" s="430">
        <f t="shared" si="96"/>
        <v>134.81000000000012</v>
      </c>
      <c r="R287" s="430">
        <f t="shared" si="96"/>
        <v>61.96800000000006</v>
      </c>
      <c r="S287" s="430">
        <f>(T286+S286)*(T285-S285)/2</f>
        <v>44.687999999999704</v>
      </c>
      <c r="T287" s="430">
        <f t="shared" si="96"/>
        <v>16.377500000000232</v>
      </c>
      <c r="U287" s="430">
        <f t="shared" si="96"/>
        <v>28.657499999999896</v>
      </c>
      <c r="V287" s="430">
        <f t="shared" si="96"/>
        <v>2.055000000000017</v>
      </c>
      <c r="W287" s="430">
        <f>(X286+W286)*(X285-W285)/2</f>
        <v>0.2289999999999951</v>
      </c>
      <c r="X287" s="430">
        <f>(Y286+X286)*(Y285-X285)/2</f>
        <v>0</v>
      </c>
      <c r="Y287" s="424"/>
    </row>
    <row r="288" spans="1:25" ht="13.8" thickBot="1" x14ac:dyDescent="0.3">
      <c r="A288" s="17"/>
      <c r="L288" s="17"/>
      <c r="M288" s="17"/>
      <c r="N288" s="17"/>
      <c r="O288" s="17"/>
      <c r="P288" s="17"/>
      <c r="Q288" s="17"/>
      <c r="R288" s="17"/>
      <c r="S288" s="17"/>
      <c r="T288" s="17"/>
      <c r="U288" s="17"/>
      <c r="V288" s="17"/>
      <c r="W288" s="17"/>
      <c r="X288" s="17"/>
      <c r="Y288" s="17"/>
    </row>
    <row r="289" spans="1:25" ht="13.8" thickBot="1" x14ac:dyDescent="0.3">
      <c r="A289" s="416" t="s">
        <v>555</v>
      </c>
      <c r="B289" s="414">
        <f>ROW(A289)</f>
        <v>289</v>
      </c>
      <c r="C289" s="418" t="s">
        <v>116</v>
      </c>
      <c r="D289" s="408">
        <f>SUM(B292:Y292)</f>
        <v>3739.0284999999994</v>
      </c>
      <c r="E289" s="418" t="s">
        <v>115</v>
      </c>
      <c r="F289" s="409">
        <f>D289/g/J289</f>
        <v>203.4941790441234</v>
      </c>
      <c r="G289" s="418" t="s">
        <v>57</v>
      </c>
      <c r="H289" s="86">
        <v>3.5110000000000001</v>
      </c>
      <c r="I289" s="418" t="s">
        <v>272</v>
      </c>
      <c r="J289" s="410">
        <f>H289-L289</f>
        <v>1.8730000000000002</v>
      </c>
      <c r="K289" s="418" t="s">
        <v>273</v>
      </c>
      <c r="L289" s="86">
        <v>1.6379999999999999</v>
      </c>
      <c r="M289" s="418" t="s">
        <v>58</v>
      </c>
      <c r="N289" s="87">
        <v>243</v>
      </c>
      <c r="O289" s="418" t="s">
        <v>60</v>
      </c>
      <c r="P289" s="87">
        <v>243</v>
      </c>
      <c r="Q289" s="418" t="s">
        <v>61</v>
      </c>
      <c r="R289" s="87">
        <v>486</v>
      </c>
      <c r="S289" s="418" t="s">
        <v>62</v>
      </c>
      <c r="T289" s="87">
        <v>75</v>
      </c>
      <c r="U289" s="418" t="s">
        <v>55</v>
      </c>
      <c r="V289" s="88" t="s">
        <v>119</v>
      </c>
      <c r="W289" s="17"/>
      <c r="X289" s="17"/>
      <c r="Y289" s="17"/>
    </row>
    <row r="290" spans="1:25" x14ac:dyDescent="0.25">
      <c r="A290" s="417" t="s">
        <v>33</v>
      </c>
      <c r="B290" s="425">
        <v>0</v>
      </c>
      <c r="C290" s="426">
        <v>0.01</v>
      </c>
      <c r="D290" s="426">
        <v>0.1</v>
      </c>
      <c r="E290" s="426">
        <v>0.12</v>
      </c>
      <c r="F290" s="426">
        <v>0.26</v>
      </c>
      <c r="G290" s="426">
        <v>0.71</v>
      </c>
      <c r="H290" s="426">
        <v>1.28</v>
      </c>
      <c r="I290" s="426">
        <v>2.0499999999999998</v>
      </c>
      <c r="J290" s="426">
        <v>2.41</v>
      </c>
      <c r="K290" s="426">
        <v>2.83</v>
      </c>
      <c r="L290" s="426">
        <v>3.25</v>
      </c>
      <c r="M290" s="426">
        <v>3.65</v>
      </c>
      <c r="N290" s="426">
        <v>3.8</v>
      </c>
      <c r="O290" s="426">
        <v>4</v>
      </c>
      <c r="P290" s="426">
        <v>4.0999999999999996</v>
      </c>
      <c r="Q290" s="426">
        <v>4.1900000000000004</v>
      </c>
      <c r="R290" s="426">
        <v>4.3099999999999996</v>
      </c>
      <c r="S290" s="426">
        <v>4.41</v>
      </c>
      <c r="T290" s="426">
        <v>4.5199999999999996</v>
      </c>
      <c r="U290" s="426">
        <v>4.5999999999999996</v>
      </c>
      <c r="V290" s="426">
        <v>4.6500000000000004</v>
      </c>
      <c r="W290" s="426">
        <v>4.67</v>
      </c>
      <c r="X290" s="426">
        <v>4.68</v>
      </c>
      <c r="Y290" s="437">
        <v>1000</v>
      </c>
    </row>
    <row r="291" spans="1:25" x14ac:dyDescent="0.25">
      <c r="A291" s="434" t="s">
        <v>34</v>
      </c>
      <c r="B291" s="427">
        <v>27</v>
      </c>
      <c r="C291" s="428">
        <v>402.4</v>
      </c>
      <c r="D291" s="428">
        <v>1286</v>
      </c>
      <c r="E291" s="428">
        <v>1257</v>
      </c>
      <c r="F291" s="428">
        <v>1042</v>
      </c>
      <c r="G291" s="428">
        <v>1027</v>
      </c>
      <c r="H291" s="428">
        <v>998.4</v>
      </c>
      <c r="I291" s="428">
        <v>901.4</v>
      </c>
      <c r="J291" s="428">
        <v>849.6</v>
      </c>
      <c r="K291" s="428">
        <v>763.5</v>
      </c>
      <c r="L291" s="428">
        <v>707.1</v>
      </c>
      <c r="M291" s="428">
        <v>655.1</v>
      </c>
      <c r="N291" s="428">
        <v>651.70000000000005</v>
      </c>
      <c r="O291" s="428">
        <v>624.1</v>
      </c>
      <c r="P291" s="428">
        <v>601.29999999999995</v>
      </c>
      <c r="Q291" s="428">
        <v>536.20000000000005</v>
      </c>
      <c r="R291" s="428">
        <v>415.7</v>
      </c>
      <c r="S291" s="428">
        <v>270.2</v>
      </c>
      <c r="T291" s="428">
        <v>140.19999999999999</v>
      </c>
      <c r="U291" s="428">
        <v>76.900000000000006</v>
      </c>
      <c r="V291" s="428">
        <v>54.9</v>
      </c>
      <c r="W291" s="428">
        <v>40.200000000000003</v>
      </c>
      <c r="X291" s="428">
        <v>0</v>
      </c>
      <c r="Y291" s="438">
        <v>0</v>
      </c>
    </row>
    <row r="292" spans="1:25" ht="13.8" thickBot="1" x14ac:dyDescent="0.3">
      <c r="A292" s="435" t="s">
        <v>117</v>
      </c>
      <c r="B292" s="429">
        <f t="shared" ref="B292:V292" si="97">(C291+B291)*(C290-B290)/2</f>
        <v>2.1469999999999998</v>
      </c>
      <c r="C292" s="430">
        <f t="shared" si="97"/>
        <v>75.978000000000009</v>
      </c>
      <c r="D292" s="430">
        <f t="shared" si="97"/>
        <v>25.429999999999989</v>
      </c>
      <c r="E292" s="430">
        <f t="shared" si="97"/>
        <v>160.93</v>
      </c>
      <c r="F292" s="430">
        <f t="shared" si="97"/>
        <v>465.52499999999998</v>
      </c>
      <c r="G292" s="430">
        <f t="shared" si="97"/>
        <v>577.23900000000003</v>
      </c>
      <c r="H292" s="430">
        <f t="shared" si="97"/>
        <v>731.42299999999977</v>
      </c>
      <c r="I292" s="430">
        <f t="shared" si="97"/>
        <v>315.18000000000029</v>
      </c>
      <c r="J292" s="430">
        <f>(K291+J291)*(K290-J290)/2</f>
        <v>338.75099999999992</v>
      </c>
      <c r="K292" s="430">
        <f t="shared" si="97"/>
        <v>308.82599999999991</v>
      </c>
      <c r="L292" s="430">
        <f t="shared" si="97"/>
        <v>272.43999999999994</v>
      </c>
      <c r="M292" s="430">
        <f t="shared" si="97"/>
        <v>98.009999999999962</v>
      </c>
      <c r="N292" s="430">
        <f t="shared" si="97"/>
        <v>127.58000000000013</v>
      </c>
      <c r="O292" s="430">
        <f t="shared" si="97"/>
        <v>61.26999999999979</v>
      </c>
      <c r="P292" s="430">
        <f t="shared" si="97"/>
        <v>51.187500000000426</v>
      </c>
      <c r="Q292" s="430">
        <f t="shared" si="97"/>
        <v>57.113999999999635</v>
      </c>
      <c r="R292" s="430">
        <f t="shared" si="97"/>
        <v>34.295000000000179</v>
      </c>
      <c r="S292" s="430">
        <f>(T291+S291)*(T290-S290)/2</f>
        <v>22.571999999999882</v>
      </c>
      <c r="T292" s="430">
        <f t="shared" si="97"/>
        <v>8.6840000000000082</v>
      </c>
      <c r="U292" s="430">
        <f t="shared" si="97"/>
        <v>3.295000000000047</v>
      </c>
      <c r="V292" s="430">
        <f t="shared" si="97"/>
        <v>0.95099999999997964</v>
      </c>
      <c r="W292" s="430">
        <f>(X291+W291)*(X290-W290)/2</f>
        <v>0.20099999999999574</v>
      </c>
      <c r="X292" s="430">
        <f>(Y291+X291)*(Y290-X290)/2</f>
        <v>0</v>
      </c>
      <c r="Y292" s="424"/>
    </row>
    <row r="293" spans="1:25" ht="13.8" thickBot="1" x14ac:dyDescent="0.3">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ht="13.8" thickBot="1" x14ac:dyDescent="0.3">
      <c r="A294" s="416" t="s">
        <v>319</v>
      </c>
      <c r="B294" s="414">
        <f>ROW(A294)</f>
        <v>294</v>
      </c>
      <c r="C294" s="418" t="s">
        <v>116</v>
      </c>
      <c r="D294" s="408">
        <f>SUM(B297:Y297)</f>
        <v>5322.2813159999996</v>
      </c>
      <c r="E294" s="418" t="s">
        <v>115</v>
      </c>
      <c r="F294" s="409">
        <f>D294/g/J294</f>
        <v>210.04116210318938</v>
      </c>
      <c r="G294" s="418" t="s">
        <v>57</v>
      </c>
      <c r="H294" s="86">
        <v>4.9770000000000003</v>
      </c>
      <c r="I294" s="418" t="s">
        <v>272</v>
      </c>
      <c r="J294" s="410">
        <f>H294-L294</f>
        <v>2.5830000000000002</v>
      </c>
      <c r="K294" s="418" t="s">
        <v>273</v>
      </c>
      <c r="L294" s="86">
        <v>2.3940000000000001</v>
      </c>
      <c r="M294" s="418" t="s">
        <v>58</v>
      </c>
      <c r="N294" s="87">
        <v>197</v>
      </c>
      <c r="O294" s="418" t="s">
        <v>60</v>
      </c>
      <c r="P294" s="87">
        <v>197</v>
      </c>
      <c r="Q294" s="418" t="s">
        <v>61</v>
      </c>
      <c r="R294" s="87">
        <v>394</v>
      </c>
      <c r="S294" s="418" t="s">
        <v>62</v>
      </c>
      <c r="T294" s="87">
        <v>98</v>
      </c>
      <c r="U294" s="418" t="s">
        <v>55</v>
      </c>
      <c r="V294" s="88" t="s">
        <v>119</v>
      </c>
      <c r="W294" s="17"/>
      <c r="X294" s="17"/>
      <c r="Y294" s="17"/>
    </row>
    <row r="295" spans="1:25" x14ac:dyDescent="0.25">
      <c r="A295" s="417" t="s">
        <v>33</v>
      </c>
      <c r="B295" s="425">
        <v>0</v>
      </c>
      <c r="C295" s="426">
        <v>3.6999999999999998E-2</v>
      </c>
      <c r="D295" s="426">
        <v>0.121</v>
      </c>
      <c r="E295" s="426">
        <v>0.32800000000000001</v>
      </c>
      <c r="F295" s="426">
        <v>1.2989999999999999</v>
      </c>
      <c r="G295" s="426">
        <v>1.5449999999999999</v>
      </c>
      <c r="H295" s="426">
        <v>1.7969999999999999</v>
      </c>
      <c r="I295" s="426">
        <v>1.998</v>
      </c>
      <c r="J295" s="426">
        <v>2.2080000000000002</v>
      </c>
      <c r="K295" s="426">
        <v>2.4620000000000002</v>
      </c>
      <c r="L295" s="426">
        <v>2.782</v>
      </c>
      <c r="M295" s="426">
        <v>3.0859999999999999</v>
      </c>
      <c r="N295" s="426">
        <v>3.2130000000000001</v>
      </c>
      <c r="O295" s="426">
        <v>3.258</v>
      </c>
      <c r="P295" s="426">
        <v>3.3279999999999998</v>
      </c>
      <c r="Q295" s="426">
        <v>3.383</v>
      </c>
      <c r="R295" s="426">
        <v>3.4279999999999999</v>
      </c>
      <c r="S295" s="426">
        <v>3.5</v>
      </c>
      <c r="T295" s="426">
        <v>3.5</v>
      </c>
      <c r="U295" s="426">
        <v>3.5</v>
      </c>
      <c r="V295" s="426">
        <v>3.5</v>
      </c>
      <c r="W295" s="426">
        <v>3.5</v>
      </c>
      <c r="X295" s="426">
        <v>3.5</v>
      </c>
      <c r="Y295" s="437">
        <v>1000</v>
      </c>
    </row>
    <row r="296" spans="1:25" x14ac:dyDescent="0.25">
      <c r="A296" s="434" t="s">
        <v>34</v>
      </c>
      <c r="B296" s="427">
        <v>0</v>
      </c>
      <c r="C296" s="428">
        <v>1474.12</v>
      </c>
      <c r="D296" s="428">
        <v>1436.5</v>
      </c>
      <c r="E296" s="428">
        <v>1523.49</v>
      </c>
      <c r="F296" s="428">
        <v>1775.06</v>
      </c>
      <c r="G296" s="428">
        <v>1807.97</v>
      </c>
      <c r="H296" s="428">
        <v>1807.97</v>
      </c>
      <c r="I296" s="428">
        <v>1786.81</v>
      </c>
      <c r="J296" s="428">
        <v>1737.44</v>
      </c>
      <c r="K296" s="428">
        <v>1572.86</v>
      </c>
      <c r="L296" s="428">
        <v>1415.34</v>
      </c>
      <c r="M296" s="428">
        <v>1309.55</v>
      </c>
      <c r="N296" s="428">
        <v>1290.74</v>
      </c>
      <c r="O296" s="428">
        <v>1309.55</v>
      </c>
      <c r="P296" s="428">
        <v>679.45899999999995</v>
      </c>
      <c r="Q296" s="428">
        <v>173.97900000000001</v>
      </c>
      <c r="R296" s="428">
        <v>68.180999999999997</v>
      </c>
      <c r="S296" s="428">
        <v>0</v>
      </c>
      <c r="T296" s="428">
        <v>0</v>
      </c>
      <c r="U296" s="428">
        <v>0</v>
      </c>
      <c r="V296" s="428">
        <v>0</v>
      </c>
      <c r="W296" s="428">
        <v>0</v>
      </c>
      <c r="X296" s="428">
        <v>0</v>
      </c>
      <c r="Y296" s="438">
        <v>0</v>
      </c>
    </row>
    <row r="297" spans="1:25" ht="13.8" thickBot="1" x14ac:dyDescent="0.3">
      <c r="A297" s="435" t="s">
        <v>117</v>
      </c>
      <c r="B297" s="429">
        <f t="shared" ref="B297:X297" si="98">(C296+B296)*(C295-B295)/2</f>
        <v>27.271219999999996</v>
      </c>
      <c r="C297" s="430">
        <f t="shared" si="98"/>
        <v>122.24603999999998</v>
      </c>
      <c r="D297" s="430">
        <f t="shared" si="98"/>
        <v>306.35896500000001</v>
      </c>
      <c r="E297" s="430">
        <f t="shared" si="98"/>
        <v>1601.446025</v>
      </c>
      <c r="F297" s="430">
        <f t="shared" si="98"/>
        <v>440.71268999999995</v>
      </c>
      <c r="G297" s="430">
        <f t="shared" si="98"/>
        <v>455.60844000000003</v>
      </c>
      <c r="H297" s="430">
        <f t="shared" si="98"/>
        <v>361.27539000000007</v>
      </c>
      <c r="I297" s="430">
        <f t="shared" si="98"/>
        <v>370.04625000000033</v>
      </c>
      <c r="J297" s="430">
        <f t="shared" si="98"/>
        <v>420.40810000000005</v>
      </c>
      <c r="K297" s="430">
        <f t="shared" si="98"/>
        <v>478.11199999999974</v>
      </c>
      <c r="L297" s="430">
        <f t="shared" si="98"/>
        <v>414.18327999999974</v>
      </c>
      <c r="M297" s="430">
        <f t="shared" si="98"/>
        <v>165.11841500000028</v>
      </c>
      <c r="N297" s="430">
        <f t="shared" si="98"/>
        <v>58.506524999999904</v>
      </c>
      <c r="O297" s="430">
        <f t="shared" si="98"/>
        <v>69.615314999999839</v>
      </c>
      <c r="P297" s="430">
        <f t="shared" si="98"/>
        <v>23.469545000000068</v>
      </c>
      <c r="Q297" s="430">
        <f t="shared" si="98"/>
        <v>5.4485999999999919</v>
      </c>
      <c r="R297" s="430">
        <f t="shared" si="98"/>
        <v>2.4545160000000021</v>
      </c>
      <c r="S297" s="430">
        <f t="shared" si="98"/>
        <v>0</v>
      </c>
      <c r="T297" s="430">
        <f t="shared" si="98"/>
        <v>0</v>
      </c>
      <c r="U297" s="430">
        <f t="shared" si="98"/>
        <v>0</v>
      </c>
      <c r="V297" s="430">
        <f t="shared" si="98"/>
        <v>0</v>
      </c>
      <c r="W297" s="430">
        <f t="shared" si="98"/>
        <v>0</v>
      </c>
      <c r="X297" s="430">
        <f t="shared" si="98"/>
        <v>0</v>
      </c>
      <c r="Y297" s="424"/>
    </row>
    <row r="298" spans="1:25" ht="13.8" thickBot="1" x14ac:dyDescent="0.3">
      <c r="A298" s="17"/>
      <c r="L298" s="17"/>
      <c r="M298" s="17"/>
      <c r="N298" s="17"/>
      <c r="O298" s="17"/>
      <c r="P298" s="17"/>
      <c r="Q298" s="17"/>
      <c r="R298" s="17"/>
      <c r="S298" s="17"/>
      <c r="T298" s="17"/>
      <c r="U298" s="17"/>
      <c r="V298" s="17"/>
      <c r="W298" s="17"/>
      <c r="X298" s="17"/>
      <c r="Y298" s="17"/>
    </row>
    <row r="299" spans="1:25" ht="13.8" thickBot="1" x14ac:dyDescent="0.3">
      <c r="A299" s="416" t="s">
        <v>320</v>
      </c>
      <c r="B299" s="414">
        <f>ROW(A299)</f>
        <v>299</v>
      </c>
      <c r="C299" s="418" t="s">
        <v>116</v>
      </c>
      <c r="D299" s="408">
        <f>SUM(B302:Y302)</f>
        <v>7412.4371409999985</v>
      </c>
      <c r="E299" s="418" t="s">
        <v>115</v>
      </c>
      <c r="F299" s="409">
        <f>D299/g/J299</f>
        <v>223.28608637999045</v>
      </c>
      <c r="G299" s="418" t="s">
        <v>57</v>
      </c>
      <c r="H299" s="86">
        <v>6.25</v>
      </c>
      <c r="I299" s="418" t="s">
        <v>272</v>
      </c>
      <c r="J299" s="410">
        <f>H299-L299</f>
        <v>3.3839999999999999</v>
      </c>
      <c r="K299" s="418" t="s">
        <v>273</v>
      </c>
      <c r="L299" s="86">
        <v>2.8660000000000001</v>
      </c>
      <c r="M299" s="418" t="s">
        <v>58</v>
      </c>
      <c r="N299" s="87">
        <v>290</v>
      </c>
      <c r="O299" s="418" t="s">
        <v>60</v>
      </c>
      <c r="P299" s="87">
        <v>290</v>
      </c>
      <c r="Q299" s="418" t="s">
        <v>61</v>
      </c>
      <c r="R299" s="87">
        <v>579</v>
      </c>
      <c r="S299" s="418" t="s">
        <v>62</v>
      </c>
      <c r="T299" s="87">
        <v>98</v>
      </c>
      <c r="U299" s="418" t="s">
        <v>55</v>
      </c>
      <c r="V299" s="88" t="s">
        <v>119</v>
      </c>
      <c r="W299" s="17"/>
      <c r="X299" s="17"/>
      <c r="Y299" s="17"/>
    </row>
    <row r="300" spans="1:25" x14ac:dyDescent="0.25">
      <c r="A300" s="417" t="s">
        <v>33</v>
      </c>
      <c r="B300" s="425">
        <v>0</v>
      </c>
      <c r="C300" s="426">
        <v>1.7000000000000001E-2</v>
      </c>
      <c r="D300" s="426">
        <v>5.1999999999999998E-2</v>
      </c>
      <c r="E300" s="426">
        <v>8.7999999999999995E-2</v>
      </c>
      <c r="F300" s="426">
        <v>0.108</v>
      </c>
      <c r="G300" s="426">
        <v>0.127</v>
      </c>
      <c r="H300" s="426">
        <v>0.17399999999999999</v>
      </c>
      <c r="I300" s="426">
        <v>0.25700000000000001</v>
      </c>
      <c r="J300" s="426">
        <v>0.40300000000000002</v>
      </c>
      <c r="K300" s="426">
        <v>0.76200000000000001</v>
      </c>
      <c r="L300" s="426">
        <v>0.97699999999999998</v>
      </c>
      <c r="M300" s="426">
        <v>1.341</v>
      </c>
      <c r="N300" s="426">
        <v>1.5009999999999999</v>
      </c>
      <c r="O300" s="426">
        <v>1.661</v>
      </c>
      <c r="P300" s="426">
        <v>1.96</v>
      </c>
      <c r="Q300" s="426">
        <v>2.4039999999999999</v>
      </c>
      <c r="R300" s="426">
        <v>2.641</v>
      </c>
      <c r="S300" s="426">
        <v>2.7160000000000002</v>
      </c>
      <c r="T300" s="426">
        <v>2.8210000000000002</v>
      </c>
      <c r="U300" s="426">
        <v>2.8919999999999999</v>
      </c>
      <c r="V300" s="426">
        <v>2.92</v>
      </c>
      <c r="W300" s="426">
        <v>2.97</v>
      </c>
      <c r="X300" s="426">
        <v>3</v>
      </c>
      <c r="Y300" s="437">
        <v>1000</v>
      </c>
    </row>
    <row r="301" spans="1:25" x14ac:dyDescent="0.25">
      <c r="A301" s="434" t="s">
        <v>34</v>
      </c>
      <c r="B301" s="427">
        <v>0</v>
      </c>
      <c r="C301" s="428">
        <v>329.84699999999998</v>
      </c>
      <c r="D301" s="428">
        <v>1003.68</v>
      </c>
      <c r="E301" s="428">
        <v>2346.62</v>
      </c>
      <c r="F301" s="428">
        <v>2549.2399999999998</v>
      </c>
      <c r="G301" s="428">
        <v>2605.79</v>
      </c>
      <c r="H301" s="428">
        <v>2520.9699999999998</v>
      </c>
      <c r="I301" s="428">
        <v>2516.2600000000002</v>
      </c>
      <c r="J301" s="428">
        <v>2596.37</v>
      </c>
      <c r="K301" s="428">
        <v>2808.41</v>
      </c>
      <c r="L301" s="428">
        <v>2954.49</v>
      </c>
      <c r="M301" s="428">
        <v>2959.2</v>
      </c>
      <c r="N301" s="428">
        <v>2907.36</v>
      </c>
      <c r="O301" s="428">
        <v>2869.67</v>
      </c>
      <c r="P301" s="428">
        <v>2695.32</v>
      </c>
      <c r="Q301" s="428">
        <v>2351.34</v>
      </c>
      <c r="R301" s="428">
        <v>2228.8200000000002</v>
      </c>
      <c r="S301" s="428">
        <v>2007.35</v>
      </c>
      <c r="T301" s="428">
        <v>1427.77</v>
      </c>
      <c r="U301" s="428">
        <v>504.19400000000002</v>
      </c>
      <c r="V301" s="428">
        <v>334.55900000000003</v>
      </c>
      <c r="W301" s="428">
        <v>122.515</v>
      </c>
      <c r="X301" s="428">
        <v>0</v>
      </c>
      <c r="Y301" s="438">
        <v>0</v>
      </c>
    </row>
    <row r="302" spans="1:25" ht="13.8" thickBot="1" x14ac:dyDescent="0.3">
      <c r="A302" s="435" t="s">
        <v>117</v>
      </c>
      <c r="B302" s="429">
        <f t="shared" ref="B302:X302" si="99">(C301+B301)*(C300-B300)/2</f>
        <v>2.8036995</v>
      </c>
      <c r="C302" s="430">
        <f t="shared" si="99"/>
        <v>23.336722499999997</v>
      </c>
      <c r="D302" s="430">
        <f t="shared" si="99"/>
        <v>60.305399999999992</v>
      </c>
      <c r="E302" s="430">
        <f t="shared" si="99"/>
        <v>48.958600000000004</v>
      </c>
      <c r="F302" s="430">
        <f t="shared" si="99"/>
        <v>48.972785000000002</v>
      </c>
      <c r="G302" s="430">
        <f t="shared" si="99"/>
        <v>120.47885999999997</v>
      </c>
      <c r="H302" s="430">
        <f t="shared" si="99"/>
        <v>209.04504500000002</v>
      </c>
      <c r="I302" s="430">
        <f t="shared" si="99"/>
        <v>373.22199000000006</v>
      </c>
      <c r="J302" s="430">
        <f t="shared" si="99"/>
        <v>970.15800999999988</v>
      </c>
      <c r="K302" s="430">
        <f t="shared" si="99"/>
        <v>619.51174999999989</v>
      </c>
      <c r="L302" s="430">
        <f t="shared" si="99"/>
        <v>1076.2915799999998</v>
      </c>
      <c r="M302" s="430">
        <f t="shared" si="99"/>
        <v>469.3247999999997</v>
      </c>
      <c r="N302" s="430">
        <f t="shared" si="99"/>
        <v>462.16240000000045</v>
      </c>
      <c r="O302" s="430">
        <f t="shared" si="99"/>
        <v>831.96600499999977</v>
      </c>
      <c r="P302" s="430">
        <f t="shared" si="99"/>
        <v>1120.3585199999998</v>
      </c>
      <c r="Q302" s="430">
        <f t="shared" si="99"/>
        <v>542.74896000000024</v>
      </c>
      <c r="R302" s="430">
        <f t="shared" si="99"/>
        <v>158.85637500000038</v>
      </c>
      <c r="S302" s="430">
        <f t="shared" si="99"/>
        <v>180.34379999999996</v>
      </c>
      <c r="T302" s="430">
        <f t="shared" si="99"/>
        <v>68.584721999999744</v>
      </c>
      <c r="U302" s="430">
        <f t="shared" si="99"/>
        <v>11.742542000000011</v>
      </c>
      <c r="V302" s="430">
        <f t="shared" si="99"/>
        <v>11.42685000000006</v>
      </c>
      <c r="W302" s="430">
        <f t="shared" si="99"/>
        <v>1.8377249999999881</v>
      </c>
      <c r="X302" s="430">
        <f t="shared" si="99"/>
        <v>0</v>
      </c>
      <c r="Y302" s="424"/>
    </row>
    <row r="303" spans="1:25" ht="13.8" thickBot="1" x14ac:dyDescent="0.3">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ht="13.8" thickBot="1" x14ac:dyDescent="0.3">
      <c r="A304" s="416" t="s">
        <v>556</v>
      </c>
      <c r="B304" s="414">
        <f>ROW(A304)</f>
        <v>304</v>
      </c>
      <c r="C304" s="418" t="s">
        <v>116</v>
      </c>
      <c r="D304" s="408">
        <f>SUM(B307:Y307)</f>
        <v>17734.977350500001</v>
      </c>
      <c r="E304" s="418" t="s">
        <v>115</v>
      </c>
      <c r="F304" s="409">
        <f>D304/g/J304</f>
        <v>192.73420306179892</v>
      </c>
      <c r="G304" s="418" t="s">
        <v>57</v>
      </c>
      <c r="H304" s="86">
        <v>14.747999999999999</v>
      </c>
      <c r="I304" s="418" t="s">
        <v>272</v>
      </c>
      <c r="J304" s="410">
        <f>H304-L304</f>
        <v>9.379999999999999</v>
      </c>
      <c r="K304" s="418" t="s">
        <v>273</v>
      </c>
      <c r="L304" s="86">
        <v>5.3680000000000003</v>
      </c>
      <c r="M304" s="418" t="s">
        <v>58</v>
      </c>
      <c r="N304" s="87">
        <v>500</v>
      </c>
      <c r="O304" s="418" t="s">
        <v>60</v>
      </c>
      <c r="P304" s="87">
        <v>500</v>
      </c>
      <c r="Q304" s="418" t="s">
        <v>61</v>
      </c>
      <c r="R304" s="87">
        <v>1046</v>
      </c>
      <c r="S304" s="418" t="s">
        <v>62</v>
      </c>
      <c r="T304" s="87">
        <v>98</v>
      </c>
      <c r="U304" s="418" t="s">
        <v>55</v>
      </c>
      <c r="V304" s="88" t="s">
        <v>119</v>
      </c>
      <c r="W304" s="17"/>
      <c r="X304" s="17"/>
      <c r="Y304" s="17"/>
    </row>
    <row r="305" spans="1:25" x14ac:dyDescent="0.25">
      <c r="A305" s="417" t="s">
        <v>33</v>
      </c>
      <c r="B305" s="425">
        <v>0</v>
      </c>
      <c r="C305" s="426">
        <v>3.0000000000000001E-3</v>
      </c>
      <c r="D305" s="426">
        <v>0.05</v>
      </c>
      <c r="E305" s="426">
        <v>7.8E-2</v>
      </c>
      <c r="F305" s="426">
        <v>0.121</v>
      </c>
      <c r="G305" s="426">
        <v>0.65200000000000002</v>
      </c>
      <c r="H305" s="426">
        <v>1.123</v>
      </c>
      <c r="I305" s="426">
        <v>1.655</v>
      </c>
      <c r="J305" s="426">
        <v>2.3530000000000002</v>
      </c>
      <c r="K305" s="426">
        <v>3.0350000000000001</v>
      </c>
      <c r="L305" s="426">
        <v>3.7</v>
      </c>
      <c r="M305" s="426">
        <v>3.7330000000000001</v>
      </c>
      <c r="N305" s="426">
        <v>3.887</v>
      </c>
      <c r="O305" s="426">
        <v>4.0359999999999996</v>
      </c>
      <c r="P305" s="426">
        <v>4.1970000000000001</v>
      </c>
      <c r="Q305" s="426">
        <v>4.2619999999999996</v>
      </c>
      <c r="R305" s="426">
        <v>4.3</v>
      </c>
      <c r="S305" s="426">
        <v>5</v>
      </c>
      <c r="T305" s="426">
        <v>5</v>
      </c>
      <c r="U305" s="426">
        <v>5</v>
      </c>
      <c r="V305" s="426">
        <v>5</v>
      </c>
      <c r="W305" s="426">
        <v>5</v>
      </c>
      <c r="X305" s="426">
        <v>5</v>
      </c>
      <c r="Y305" s="437">
        <v>1000</v>
      </c>
    </row>
    <row r="306" spans="1:25" x14ac:dyDescent="0.25">
      <c r="A306" s="434" t="s">
        <v>34</v>
      </c>
      <c r="B306" s="427">
        <v>0</v>
      </c>
      <c r="C306" s="428">
        <v>203.87700000000001</v>
      </c>
      <c r="D306" s="428">
        <v>2362.8789999999999</v>
      </c>
      <c r="E306" s="428">
        <v>3946.8449999999998</v>
      </c>
      <c r="F306" s="428">
        <v>4281.4120000000003</v>
      </c>
      <c r="G306" s="428">
        <v>4370.2809999999999</v>
      </c>
      <c r="H306" s="428">
        <v>4453.9229999999998</v>
      </c>
      <c r="I306" s="428">
        <v>4772.8069999999998</v>
      </c>
      <c r="J306" s="428">
        <v>4621.2060000000001</v>
      </c>
      <c r="K306" s="428">
        <v>4511.4269999999997</v>
      </c>
      <c r="L306" s="428">
        <v>4375.509</v>
      </c>
      <c r="M306" s="428">
        <v>4182.0870000000004</v>
      </c>
      <c r="N306" s="428">
        <v>2969.2820000000002</v>
      </c>
      <c r="O306" s="428">
        <v>1589.193</v>
      </c>
      <c r="P306" s="428">
        <v>533.21600000000001</v>
      </c>
      <c r="Q306" s="428">
        <v>240.47</v>
      </c>
      <c r="R306" s="428">
        <v>0</v>
      </c>
      <c r="S306" s="428">
        <v>0</v>
      </c>
      <c r="T306" s="428">
        <v>0</v>
      </c>
      <c r="U306" s="428">
        <v>0</v>
      </c>
      <c r="V306" s="428">
        <v>0</v>
      </c>
      <c r="W306" s="428">
        <v>0</v>
      </c>
      <c r="X306" s="428">
        <v>0</v>
      </c>
      <c r="Y306" s="438">
        <v>0</v>
      </c>
    </row>
    <row r="307" spans="1:25" ht="13.8" thickBot="1" x14ac:dyDescent="0.3">
      <c r="A307" s="435" t="s">
        <v>117</v>
      </c>
      <c r="B307" s="429">
        <f t="shared" ref="B307" si="100">(C306+B306)*(C305-B305)/2</f>
        <v>0.30581550000000002</v>
      </c>
      <c r="C307" s="430">
        <f t="shared" ref="C307" si="101">(D306+C306)*(D305-C305)/2</f>
        <v>60.318765999999997</v>
      </c>
      <c r="D307" s="430">
        <f t="shared" ref="D307" si="102">(E306+D306)*(E305-D305)/2</f>
        <v>88.336135999999996</v>
      </c>
      <c r="E307" s="430">
        <f t="shared" ref="E307" si="103">(F306+E306)*(F305-E305)/2</f>
        <v>176.90752549999999</v>
      </c>
      <c r="F307" s="430">
        <f t="shared" ref="F307" si="104">(G306+F306)*(G305-F305)/2</f>
        <v>2297.0244914999998</v>
      </c>
      <c r="G307" s="430">
        <f t="shared" ref="G307" si="105">(H306+G306)*(H305-G305)/2</f>
        <v>2078.100042</v>
      </c>
      <c r="H307" s="430">
        <f t="shared" ref="H307" si="106">(I306+H306)*(I305-H305)/2</f>
        <v>2454.3101799999999</v>
      </c>
      <c r="I307" s="430">
        <f t="shared" ref="I307" si="107">(J306+I306)*(J305-I305)/2</f>
        <v>3278.5105370000006</v>
      </c>
      <c r="J307" s="430">
        <f t="shared" ref="J307" si="108">(K306+J306)*(K305-J305)/2</f>
        <v>3114.2278529999999</v>
      </c>
      <c r="K307" s="430">
        <f t="shared" ref="K307" si="109">(L306+K306)*(L305-K305)/2</f>
        <v>2954.9062199999998</v>
      </c>
      <c r="L307" s="430">
        <f t="shared" ref="L307" si="110">(M306+L306)*(M305-L305)/2</f>
        <v>141.20033399999969</v>
      </c>
      <c r="M307" s="430">
        <f t="shared" ref="M307" si="111">(N306+M306)*(N305-M305)/2</f>
        <v>550.65541299999973</v>
      </c>
      <c r="N307" s="430">
        <f t="shared" ref="N307" si="112">(O306+N306)*(O305-N305)/2</f>
        <v>339.60638749999907</v>
      </c>
      <c r="O307" s="430">
        <f t="shared" ref="O307" si="113">(P306+O306)*(P305-O305)/2</f>
        <v>170.85392450000052</v>
      </c>
      <c r="P307" s="430">
        <f t="shared" ref="P307" si="114">(Q306+P306)*(Q305-P305)/2</f>
        <v>25.14479499999981</v>
      </c>
      <c r="Q307" s="430">
        <f t="shared" ref="Q307" si="115">(R306+Q306)*(R305-Q305)/2</f>
        <v>4.568930000000031</v>
      </c>
      <c r="R307" s="430">
        <f t="shared" ref="R307" si="116">(S306+R306)*(S305-R305)/2</f>
        <v>0</v>
      </c>
      <c r="S307" s="430">
        <f t="shared" ref="S307" si="117">(T306+S306)*(T305-S305)/2</f>
        <v>0</v>
      </c>
      <c r="T307" s="430">
        <f t="shared" ref="T307" si="118">(U306+T306)*(U305-T305)/2</f>
        <v>0</v>
      </c>
      <c r="U307" s="430">
        <f t="shared" ref="U307" si="119">(V306+U306)*(V305-U305)/2</f>
        <v>0</v>
      </c>
      <c r="V307" s="430">
        <f t="shared" ref="V307" si="120">(W306+V306)*(W305-V305)/2</f>
        <v>0</v>
      </c>
      <c r="W307" s="430">
        <f t="shared" ref="W307" si="121">(X306+W306)*(X305-W305)/2</f>
        <v>0</v>
      </c>
      <c r="X307" s="430">
        <f t="shared" ref="X307" si="122">(Y306+X306)*(Y305-X305)/2</f>
        <v>0</v>
      </c>
      <c r="Y307" s="424"/>
    </row>
    <row r="308" spans="1:25" ht="13.8" thickBot="1" x14ac:dyDescent="0.3">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ht="13.8" thickBot="1" x14ac:dyDescent="0.3">
      <c r="A309" s="416" t="s">
        <v>45</v>
      </c>
      <c r="B309" s="414">
        <f>ROW(A309)</f>
        <v>309</v>
      </c>
      <c r="C309" s="418" t="s">
        <v>116</v>
      </c>
      <c r="D309" s="408">
        <f>SUM(B312:Y312)</f>
        <v>1E-3</v>
      </c>
      <c r="E309" s="418" t="s">
        <v>115</v>
      </c>
      <c r="F309" s="409">
        <f>D309/g/J309</f>
        <v>1.019367991845056</v>
      </c>
      <c r="G309" s="418" t="s">
        <v>57</v>
      </c>
      <c r="H309" s="86">
        <v>1E-4</v>
      </c>
      <c r="I309" s="418" t="s">
        <v>272</v>
      </c>
      <c r="J309" s="410">
        <f>H309-L309</f>
        <v>1E-4</v>
      </c>
      <c r="K309" s="418" t="s">
        <v>273</v>
      </c>
      <c r="L309" s="86">
        <v>0</v>
      </c>
      <c r="M309" s="418" t="s">
        <v>58</v>
      </c>
      <c r="N309" s="87">
        <v>0</v>
      </c>
      <c r="O309" s="418" t="s">
        <v>60</v>
      </c>
      <c r="P309" s="87">
        <v>0</v>
      </c>
      <c r="Q309" s="418" t="s">
        <v>61</v>
      </c>
      <c r="R309" s="87">
        <v>0</v>
      </c>
      <c r="S309" s="418" t="s">
        <v>62</v>
      </c>
      <c r="T309" s="87">
        <v>0</v>
      </c>
      <c r="U309" s="418" t="s">
        <v>55</v>
      </c>
      <c r="V309" s="88" t="s">
        <v>119</v>
      </c>
      <c r="W309" s="17"/>
      <c r="X309" s="17"/>
      <c r="Y309" s="17"/>
    </row>
    <row r="310" spans="1:25" x14ac:dyDescent="0.25">
      <c r="A310" s="417" t="s">
        <v>33</v>
      </c>
      <c r="B310" s="425">
        <v>0</v>
      </c>
      <c r="C310" s="426">
        <v>0.1</v>
      </c>
      <c r="D310" s="426">
        <v>0.2</v>
      </c>
      <c r="E310" s="426">
        <v>1</v>
      </c>
      <c r="F310" s="426">
        <v>1</v>
      </c>
      <c r="G310" s="426">
        <v>1</v>
      </c>
      <c r="H310" s="426">
        <v>1</v>
      </c>
      <c r="I310" s="426">
        <v>1</v>
      </c>
      <c r="J310" s="426">
        <v>1</v>
      </c>
      <c r="K310" s="426">
        <v>1</v>
      </c>
      <c r="L310" s="426">
        <v>1</v>
      </c>
      <c r="M310" s="426">
        <v>1</v>
      </c>
      <c r="N310" s="426">
        <v>1</v>
      </c>
      <c r="O310" s="426">
        <v>1</v>
      </c>
      <c r="P310" s="426">
        <v>1</v>
      </c>
      <c r="Q310" s="426">
        <v>1</v>
      </c>
      <c r="R310" s="426">
        <v>1</v>
      </c>
      <c r="S310" s="426">
        <v>1</v>
      </c>
      <c r="T310" s="426">
        <v>1</v>
      </c>
      <c r="U310" s="426">
        <v>1</v>
      </c>
      <c r="V310" s="426">
        <v>1</v>
      </c>
      <c r="W310" s="426">
        <v>1</v>
      </c>
      <c r="X310" s="426">
        <v>1</v>
      </c>
      <c r="Y310" s="437">
        <v>1000</v>
      </c>
    </row>
    <row r="311" spans="1:25" x14ac:dyDescent="0.25">
      <c r="A311" s="434" t="s">
        <v>34</v>
      </c>
      <c r="B311" s="427">
        <v>0</v>
      </c>
      <c r="C311" s="428">
        <v>0.01</v>
      </c>
      <c r="D311" s="428">
        <v>0</v>
      </c>
      <c r="E311" s="428">
        <v>0</v>
      </c>
      <c r="F311" s="428">
        <v>0</v>
      </c>
      <c r="G311" s="428">
        <v>0</v>
      </c>
      <c r="H311" s="428">
        <v>0</v>
      </c>
      <c r="I311" s="428">
        <v>0</v>
      </c>
      <c r="J311" s="428">
        <v>0</v>
      </c>
      <c r="K311" s="428">
        <v>0</v>
      </c>
      <c r="L311" s="428">
        <v>0</v>
      </c>
      <c r="M311" s="428">
        <v>0</v>
      </c>
      <c r="N311" s="428">
        <v>0</v>
      </c>
      <c r="O311" s="428">
        <v>0</v>
      </c>
      <c r="P311" s="428">
        <v>0</v>
      </c>
      <c r="Q311" s="428">
        <v>0</v>
      </c>
      <c r="R311" s="428">
        <v>0</v>
      </c>
      <c r="S311" s="428">
        <v>0</v>
      </c>
      <c r="T311" s="428">
        <v>0</v>
      </c>
      <c r="U311" s="428">
        <v>0</v>
      </c>
      <c r="V311" s="428">
        <v>0</v>
      </c>
      <c r="W311" s="428">
        <v>0</v>
      </c>
      <c r="X311" s="428">
        <v>0</v>
      </c>
      <c r="Y311" s="438">
        <v>0</v>
      </c>
    </row>
    <row r="312" spans="1:25" ht="13.8" thickBot="1" x14ac:dyDescent="0.3">
      <c r="A312" s="435" t="s">
        <v>117</v>
      </c>
      <c r="B312" s="429">
        <f t="shared" ref="B312:G312" si="123">(C311+B311)*(C310-B310)/2</f>
        <v>5.0000000000000001E-4</v>
      </c>
      <c r="C312" s="430">
        <f t="shared" si="123"/>
        <v>5.0000000000000001E-4</v>
      </c>
      <c r="D312" s="430">
        <f t="shared" si="123"/>
        <v>0</v>
      </c>
      <c r="E312" s="430">
        <f t="shared" si="123"/>
        <v>0</v>
      </c>
      <c r="F312" s="430">
        <f t="shared" si="123"/>
        <v>0</v>
      </c>
      <c r="G312" s="430">
        <f t="shared" si="123"/>
        <v>0</v>
      </c>
      <c r="H312" s="430">
        <f t="shared" ref="H312:V312" si="124">(I311+H311)*(I310-H310)/2</f>
        <v>0</v>
      </c>
      <c r="I312" s="430">
        <f t="shared" si="124"/>
        <v>0</v>
      </c>
      <c r="J312" s="430">
        <f>(K311+J311)*(K310-J310)/2</f>
        <v>0</v>
      </c>
      <c r="K312" s="430">
        <f t="shared" si="124"/>
        <v>0</v>
      </c>
      <c r="L312" s="430">
        <f t="shared" si="124"/>
        <v>0</v>
      </c>
      <c r="M312" s="430">
        <f t="shared" si="124"/>
        <v>0</v>
      </c>
      <c r="N312" s="430">
        <f t="shared" si="124"/>
        <v>0</v>
      </c>
      <c r="O312" s="430">
        <f t="shared" si="124"/>
        <v>0</v>
      </c>
      <c r="P312" s="430">
        <f t="shared" si="124"/>
        <v>0</v>
      </c>
      <c r="Q312" s="430">
        <f t="shared" si="124"/>
        <v>0</v>
      </c>
      <c r="R312" s="430">
        <f t="shared" si="124"/>
        <v>0</v>
      </c>
      <c r="S312" s="430">
        <f>(T311+S311)*(T310-S310)/2</f>
        <v>0</v>
      </c>
      <c r="T312" s="430">
        <f t="shared" si="124"/>
        <v>0</v>
      </c>
      <c r="U312" s="430">
        <f t="shared" si="124"/>
        <v>0</v>
      </c>
      <c r="V312" s="430">
        <f t="shared" si="124"/>
        <v>0</v>
      </c>
      <c r="W312" s="430">
        <f>(X311+W311)*(X310-W310)/2</f>
        <v>0</v>
      </c>
      <c r="X312" s="430">
        <f>(Y311+X311)*(Y310-X310)/2</f>
        <v>0</v>
      </c>
      <c r="Y312" s="424"/>
    </row>
    <row r="314" spans="1:25" x14ac:dyDescent="0.25">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6" spans="1:25" x14ac:dyDescent="0.25">
      <c r="A316" s="458" t="str">
        <f>IF(Lang="Français","Liste des propu affichés :","Motor list (shown):")</f>
        <v>Liste des propu affichés :</v>
      </c>
      <c r="C316" s="751" t="s">
        <v>277</v>
      </c>
      <c r="D316" s="752"/>
      <c r="F316" s="751" t="s">
        <v>182</v>
      </c>
      <c r="G316" s="752"/>
      <c r="H316" s="555"/>
      <c r="I316" s="753" t="s">
        <v>399</v>
      </c>
      <c r="J316" s="752"/>
      <c r="K316" s="555"/>
      <c r="L316" s="751" t="s">
        <v>183</v>
      </c>
      <c r="M316" s="752"/>
      <c r="O316" s="753" t="s">
        <v>398</v>
      </c>
      <c r="P316" s="752"/>
      <c r="R316" s="751" t="s">
        <v>119</v>
      </c>
      <c r="S316" s="752"/>
    </row>
    <row r="317" spans="1:25" x14ac:dyDescent="0.25">
      <c r="A317" s="459" t="str">
        <f t="array" ref="A317:A346">IF(RIGHT(Type_fusee,1)=".",Liste_fusex, IF(LEFT(Type_fusee,4)="Mini",Liste_minif, IF(LEFT(Type_fusee,5)="Micro",Liste_µfu, IF(RIGHT(Type_fusee,1)=" ",Liste_H2O, IF(LEFT(Type_fusee,1)="R",Liste_RC, IF(LEFT(Type_fusee,1)=",",Liste_minifT))))))</f>
        <v>Barasinga (Pro54-5G C)</v>
      </c>
      <c r="C317" s="740" t="str">
        <f>A26</f>
        <v>H2O 1.5L 300g 6bar</v>
      </c>
      <c r="D317" s="741"/>
      <c r="F317" s="740" t="str">
        <f>A67</f>
        <v>µ-propu A8-3</v>
      </c>
      <c r="G317" s="741"/>
      <c r="H317" s="558"/>
      <c r="I317" s="745" t="str">
        <f>A148</f>
        <v>p29-1G 56F31</v>
      </c>
      <c r="J317" s="746"/>
      <c r="K317" s="558"/>
      <c r="L317" s="745" t="str">
        <f>A148</f>
        <v>p29-1G 56F31</v>
      </c>
      <c r="M317" s="746"/>
      <c r="O317" s="740" t="str">
        <f>A108</f>
        <v>p24-1G 24E22</v>
      </c>
      <c r="P317" s="741"/>
      <c r="R317" s="740" t="str">
        <f>A279</f>
        <v>Barasinga (Pro54-5G C)</v>
      </c>
      <c r="S317" s="741"/>
    </row>
    <row r="318" spans="1:25" x14ac:dyDescent="0.25">
      <c r="A318" s="459" t="str">
        <v>Orignal (Pro75-3G C)</v>
      </c>
      <c r="C318" s="740" t="str">
        <f>A31</f>
        <v>H2O 1.5L 450g 6bar</v>
      </c>
      <c r="D318" s="741"/>
      <c r="F318" s="740" t="str">
        <f>A72</f>
        <v>µ-propu B4-4</v>
      </c>
      <c r="G318" s="741"/>
      <c r="H318" s="558"/>
      <c r="I318" s="745" t="str">
        <f>A153</f>
        <v>p29-1G 56F120</v>
      </c>
      <c r="J318" s="746"/>
      <c r="K318" s="558"/>
      <c r="L318" s="745" t="str">
        <f>A153</f>
        <v>p29-1G 56F120</v>
      </c>
      <c r="M318" s="746"/>
      <c r="O318" s="740" t="str">
        <f>A113</f>
        <v>p24-1G 25E75 (Rufina)</v>
      </c>
      <c r="P318" s="741"/>
      <c r="R318" s="740" t="str">
        <f>A289</f>
        <v>Orignal (Pro75-3G C)</v>
      </c>
      <c r="S318" s="741"/>
    </row>
    <row r="319" spans="1:25" x14ac:dyDescent="0.25">
      <c r="A319" s="459" t="str">
        <v xml:space="preserve"> </v>
      </c>
      <c r="C319" s="740" t="str">
        <f>A36</f>
        <v>H2O 1.5L 600g 6bar</v>
      </c>
      <c r="D319" s="741"/>
      <c r="F319" s="740" t="str">
        <f>A77</f>
        <v>µ-propu C6-3</v>
      </c>
      <c r="G319" s="741"/>
      <c r="H319" s="558"/>
      <c r="I319" s="745" t="str">
        <f>A158</f>
        <v>p29-1G 57F59</v>
      </c>
      <c r="J319" s="746"/>
      <c r="K319" s="558"/>
      <c r="L319" s="745" t="str">
        <f>A158</f>
        <v>p29-1G 57F59</v>
      </c>
      <c r="M319" s="746"/>
      <c r="O319" s="740" t="str">
        <f>A118</f>
        <v>p24-1G 26E31</v>
      </c>
      <c r="P319" s="741"/>
      <c r="R319" s="740" t="s">
        <v>184</v>
      </c>
      <c r="S319" s="741"/>
    </row>
    <row r="320" spans="1:25" x14ac:dyDescent="0.25">
      <c r="A320" s="459" t="str">
        <v xml:space="preserve"> </v>
      </c>
      <c r="C320" s="740" t="str">
        <f>A41</f>
        <v>H2O 1.5L 750g 6bar</v>
      </c>
      <c r="D320" s="741"/>
      <c r="F320" s="740" t="str">
        <f>A82</f>
        <v>µ-propu C6-3 x2</v>
      </c>
      <c r="G320" s="741"/>
      <c r="H320" s="558"/>
      <c r="I320" s="745" t="str">
        <f>A183</f>
        <v>p24-3G 74F85</v>
      </c>
      <c r="J320" s="746"/>
      <c r="K320" s="558"/>
      <c r="L320" s="745" t="str">
        <f>A228</f>
        <v>p29-2G 116G126</v>
      </c>
      <c r="M320" s="746"/>
      <c r="O320" s="740" t="str">
        <f>A123</f>
        <v>p24-2G 50E51</v>
      </c>
      <c r="P320" s="741"/>
      <c r="R320" s="740" t="s">
        <v>184</v>
      </c>
      <c r="S320" s="741"/>
    </row>
    <row r="321" spans="1:19" x14ac:dyDescent="0.25">
      <c r="A321" s="459" t="str">
        <v xml:space="preserve"> </v>
      </c>
      <c r="C321" s="740" t="str">
        <f>A46</f>
        <v>H2O 2.0L 400g 6bar</v>
      </c>
      <c r="D321" s="741"/>
      <c r="F321" s="740" t="str">
        <f>A87</f>
        <v>µ-propu C6-3 x3</v>
      </c>
      <c r="G321" s="741"/>
      <c r="H321" s="558"/>
      <c r="I321" s="745" t="str">
        <f>A188</f>
        <v>p24-3G 75F51</v>
      </c>
      <c r="J321" s="746"/>
      <c r="K321" s="558"/>
      <c r="L321" s="745" t="s">
        <v>184</v>
      </c>
      <c r="M321" s="746"/>
      <c r="O321" s="740" t="str">
        <f>A128</f>
        <v>p24-1G 53E70</v>
      </c>
      <c r="P321" s="741"/>
      <c r="R321" s="740" t="s">
        <v>184</v>
      </c>
      <c r="S321" s="741"/>
    </row>
    <row r="322" spans="1:19" x14ac:dyDescent="0.25">
      <c r="A322" s="459" t="str">
        <v xml:space="preserve"> </v>
      </c>
      <c r="C322" s="740" t="str">
        <f>A51</f>
        <v>H2O 2.0L 600g 6bar</v>
      </c>
      <c r="D322" s="741"/>
      <c r="F322" s="740" t="s">
        <v>184</v>
      </c>
      <c r="G322" s="741"/>
      <c r="H322" s="558"/>
      <c r="I322" s="745" t="s">
        <v>184</v>
      </c>
      <c r="J322" s="746"/>
      <c r="K322" s="558"/>
      <c r="L322" s="740" t="str">
        <f>A198</f>
        <v>Pandora (Pro24-6G BS)</v>
      </c>
      <c r="M322" s="741"/>
      <c r="O322" s="740" t="str">
        <f>A133</f>
        <v>p29-1G 41F36</v>
      </c>
      <c r="P322" s="741"/>
      <c r="R322" s="740" t="s">
        <v>184</v>
      </c>
      <c r="S322" s="741"/>
    </row>
    <row r="323" spans="1:19" x14ac:dyDescent="0.25">
      <c r="A323" s="459" t="str">
        <v xml:space="preserve"> </v>
      </c>
      <c r="C323" s="740" t="str">
        <f>A56</f>
        <v>H2O 2.0L 800g 6bar</v>
      </c>
      <c r="D323" s="741"/>
      <c r="F323" s="740" t="s">
        <v>184</v>
      </c>
      <c r="G323" s="741"/>
      <c r="H323" s="558"/>
      <c r="I323" s="745" t="s">
        <v>184</v>
      </c>
      <c r="J323" s="746"/>
      <c r="K323" s="558"/>
      <c r="L323" s="740" t="s">
        <v>184</v>
      </c>
      <c r="M323" s="741"/>
      <c r="O323" s="740" t="str">
        <f>A138</f>
        <v>p29-1G 51F36</v>
      </c>
      <c r="P323" s="741"/>
      <c r="R323" s="740" t="s">
        <v>184</v>
      </c>
      <c r="S323" s="741"/>
    </row>
    <row r="324" spans="1:19" x14ac:dyDescent="0.25">
      <c r="A324" s="459" t="str">
        <v xml:space="preserve"> </v>
      </c>
      <c r="C324" s="740" t="str">
        <f>A61</f>
        <v>H2O 2.0L 1000g 6bar</v>
      </c>
      <c r="D324" s="741"/>
      <c r="F324" s="740" t="s">
        <v>184</v>
      </c>
      <c r="G324" s="741"/>
      <c r="H324" s="558"/>
      <c r="I324" s="745" t="s">
        <v>184</v>
      </c>
      <c r="J324" s="746"/>
      <c r="K324" s="558"/>
      <c r="L324" s="740" t="str">
        <f>A92</f>
        <v>Klima D9-7</v>
      </c>
      <c r="M324" s="741"/>
      <c r="O324" s="740" t="str">
        <f>A143</f>
        <v>p29-1G 55F29</v>
      </c>
      <c r="P324" s="741"/>
      <c r="R324" s="740" t="s">
        <v>184</v>
      </c>
      <c r="S324" s="741"/>
    </row>
    <row r="325" spans="1:19" x14ac:dyDescent="0.25">
      <c r="A325" s="459" t="str">
        <v xml:space="preserve"> </v>
      </c>
      <c r="C325" s="740" t="s">
        <v>184</v>
      </c>
      <c r="D325" s="741"/>
      <c r="F325" s="740" t="s">
        <v>184</v>
      </c>
      <c r="G325" s="741"/>
      <c r="H325" s="558"/>
      <c r="I325" s="745" t="s">
        <v>184</v>
      </c>
      <c r="J325" s="746"/>
      <c r="K325" s="558"/>
      <c r="L325" s="740" t="str">
        <f>A97</f>
        <v>Klima D9-7 x2</v>
      </c>
      <c r="M325" s="741"/>
      <c r="O325" s="740" t="str">
        <f>A153</f>
        <v>p29-1G 56F120</v>
      </c>
      <c r="P325" s="741"/>
      <c r="R325" s="740" t="s">
        <v>184</v>
      </c>
      <c r="S325" s="741"/>
    </row>
    <row r="326" spans="1:19" x14ac:dyDescent="0.25">
      <c r="A326" s="459" t="str">
        <v xml:space="preserve"> </v>
      </c>
      <c r="C326" s="740" t="s">
        <v>184</v>
      </c>
      <c r="D326" s="741"/>
      <c r="F326" s="740" t="s">
        <v>184</v>
      </c>
      <c r="G326" s="741"/>
      <c r="H326" s="558"/>
      <c r="I326" s="745" t="s">
        <v>184</v>
      </c>
      <c r="J326" s="746"/>
      <c r="K326" s="558"/>
      <c r="L326" s="740" t="str">
        <f>A102</f>
        <v>Klima D9-7 x3</v>
      </c>
      <c r="M326" s="741"/>
      <c r="O326" s="740" t="str">
        <f>A158</f>
        <v>p29-1G 57F59</v>
      </c>
      <c r="P326" s="741"/>
      <c r="R326" s="740" t="s">
        <v>184</v>
      </c>
      <c r="S326" s="741"/>
    </row>
    <row r="327" spans="1:19" x14ac:dyDescent="0.25">
      <c r="A327" s="459" t="str">
        <v xml:space="preserve"> </v>
      </c>
      <c r="C327" s="740" t="s">
        <v>184</v>
      </c>
      <c r="D327" s="741"/>
      <c r="F327" s="740" t="s">
        <v>184</v>
      </c>
      <c r="G327" s="741"/>
      <c r="H327" s="558"/>
      <c r="I327" s="745" t="s">
        <v>184</v>
      </c>
      <c r="J327" s="746"/>
      <c r="K327" s="558"/>
      <c r="L327" s="740" t="s">
        <v>184</v>
      </c>
      <c r="M327" s="741"/>
      <c r="O327" s="740" t="str">
        <f>A163</f>
        <v>p24-3G 60F50</v>
      </c>
      <c r="P327" s="741"/>
      <c r="R327" s="740" t="s">
        <v>184</v>
      </c>
      <c r="S327" s="741"/>
    </row>
    <row r="328" spans="1:19" x14ac:dyDescent="0.25">
      <c r="A328" s="459" t="str">
        <v xml:space="preserve"> </v>
      </c>
      <c r="C328" s="740" t="s">
        <v>184</v>
      </c>
      <c r="D328" s="741"/>
      <c r="F328" s="740" t="s">
        <v>184</v>
      </c>
      <c r="G328" s="741"/>
      <c r="H328" s="558"/>
      <c r="I328" s="745" t="s">
        <v>184</v>
      </c>
      <c r="J328" s="746"/>
      <c r="K328" s="558"/>
      <c r="L328" s="740" t="s">
        <v>184</v>
      </c>
      <c r="M328" s="741"/>
      <c r="O328" s="740" t="str">
        <f>A168</f>
        <v>p24-3G 68F79</v>
      </c>
      <c r="P328" s="741"/>
      <c r="R328" s="740" t="s">
        <v>184</v>
      </c>
      <c r="S328" s="741"/>
    </row>
    <row r="329" spans="1:19" x14ac:dyDescent="0.25">
      <c r="A329" s="459" t="str">
        <v xml:space="preserve"> </v>
      </c>
      <c r="C329" s="740" t="s">
        <v>184</v>
      </c>
      <c r="D329" s="741"/>
      <c r="F329" s="740" t="s">
        <v>184</v>
      </c>
      <c r="G329" s="741"/>
      <c r="H329" s="558"/>
      <c r="I329" s="745" t="s">
        <v>184</v>
      </c>
      <c r="J329" s="746"/>
      <c r="K329" s="558"/>
      <c r="L329" s="740" t="s">
        <v>184</v>
      </c>
      <c r="M329" s="741"/>
      <c r="O329" s="740" t="str">
        <f>A173</f>
        <v>p24-3G 68F240</v>
      </c>
      <c r="P329" s="741"/>
      <c r="R329" s="740" t="s">
        <v>184</v>
      </c>
      <c r="S329" s="741"/>
    </row>
    <row r="330" spans="1:19" x14ac:dyDescent="0.25">
      <c r="A330" s="459" t="str">
        <v xml:space="preserve"> </v>
      </c>
      <c r="C330" s="740" t="s">
        <v>184</v>
      </c>
      <c r="D330" s="741"/>
      <c r="F330" s="740" t="s">
        <v>184</v>
      </c>
      <c r="G330" s="741"/>
      <c r="H330" s="558"/>
      <c r="I330" s="745" t="s">
        <v>184</v>
      </c>
      <c r="J330" s="746"/>
      <c r="K330" s="558"/>
      <c r="L330" s="740" t="s">
        <v>184</v>
      </c>
      <c r="M330" s="741"/>
      <c r="O330" s="740" t="str">
        <f>A178</f>
        <v>p24-3G 73F30</v>
      </c>
      <c r="P330" s="741"/>
      <c r="R330" s="740" t="s">
        <v>184</v>
      </c>
      <c r="S330" s="741"/>
    </row>
    <row r="331" spans="1:19" x14ac:dyDescent="0.25">
      <c r="A331" s="459" t="str">
        <v xml:space="preserve"> </v>
      </c>
      <c r="C331" s="740" t="s">
        <v>184</v>
      </c>
      <c r="D331" s="741"/>
      <c r="F331" s="740" t="s">
        <v>184</v>
      </c>
      <c r="G331" s="741"/>
      <c r="H331" s="558"/>
      <c r="I331" s="747" t="s">
        <v>184</v>
      </c>
      <c r="J331" s="748"/>
      <c r="K331" s="558"/>
      <c r="L331" s="740" t="s">
        <v>184</v>
      </c>
      <c r="M331" s="741"/>
      <c r="O331" s="740" t="str">
        <f>A183</f>
        <v>p24-3G 74F85</v>
      </c>
      <c r="P331" s="741"/>
      <c r="R331" s="740" t="s">
        <v>184</v>
      </c>
      <c r="S331" s="741"/>
    </row>
    <row r="332" spans="1:19" x14ac:dyDescent="0.25">
      <c r="A332" s="545" t="str">
        <v xml:space="preserve"> </v>
      </c>
      <c r="C332" s="749" t="s">
        <v>184</v>
      </c>
      <c r="D332" s="750"/>
      <c r="F332" s="749" t="s">
        <v>184</v>
      </c>
      <c r="G332" s="750"/>
      <c r="H332" s="558"/>
      <c r="I332" s="749" t="s">
        <v>184</v>
      </c>
      <c r="J332" s="750"/>
      <c r="K332" s="558"/>
      <c r="L332" s="749" t="s">
        <v>184</v>
      </c>
      <c r="M332" s="750"/>
      <c r="O332" s="740" t="str">
        <f>A188</f>
        <v>p24-3G 75F51</v>
      </c>
      <c r="P332" s="741"/>
      <c r="R332" s="749" t="s">
        <v>184</v>
      </c>
      <c r="S332" s="750"/>
    </row>
    <row r="333" spans="1:19" x14ac:dyDescent="0.25">
      <c r="A333" s="459" t="str">
        <v xml:space="preserve"> </v>
      </c>
      <c r="C333" s="742" t="s">
        <v>184</v>
      </c>
      <c r="D333" s="742"/>
      <c r="F333" s="742" t="s">
        <v>184</v>
      </c>
      <c r="G333" s="742"/>
      <c r="I333" s="744" t="s">
        <v>184</v>
      </c>
      <c r="J333" s="744"/>
      <c r="L333" s="744" t="s">
        <v>184</v>
      </c>
      <c r="M333" s="744"/>
      <c r="O333" s="740" t="str">
        <f>A213</f>
        <v>p29-2G 84G88</v>
      </c>
      <c r="P333" s="741"/>
      <c r="R333" s="756" t="s">
        <v>184</v>
      </c>
      <c r="S333" s="756"/>
    </row>
    <row r="334" spans="1:19" x14ac:dyDescent="0.25">
      <c r="A334" s="546" t="str">
        <v>Isard</v>
      </c>
      <c r="C334" s="739" t="s">
        <v>184</v>
      </c>
      <c r="D334" s="739"/>
      <c r="F334" s="739" t="s">
        <v>184</v>
      </c>
      <c r="G334" s="739"/>
      <c r="I334" s="744" t="s">
        <v>184</v>
      </c>
      <c r="J334" s="744"/>
      <c r="L334" s="744" t="s">
        <v>184</v>
      </c>
      <c r="M334" s="744"/>
      <c r="O334" s="740" t="str">
        <f>A218</f>
        <v>p29-2G 93G80</v>
      </c>
      <c r="P334" s="741"/>
      <c r="R334" s="755" t="str">
        <f>A269</f>
        <v>Isard</v>
      </c>
      <c r="S334" s="755"/>
    </row>
    <row r="335" spans="1:19" x14ac:dyDescent="0.25">
      <c r="A335" s="546" t="str">
        <v>Chamois</v>
      </c>
      <c r="C335" s="739" t="s">
        <v>184</v>
      </c>
      <c r="D335" s="739"/>
      <c r="F335" s="739" t="s">
        <v>184</v>
      </c>
      <c r="G335" s="739"/>
      <c r="I335" s="744" t="s">
        <v>184</v>
      </c>
      <c r="J335" s="744"/>
      <c r="L335" s="744" t="s">
        <v>184</v>
      </c>
      <c r="M335" s="744"/>
      <c r="O335" s="740" t="str">
        <f>A223</f>
        <v>p29-2G 110G250</v>
      </c>
      <c r="P335" s="741"/>
      <c r="R335" s="755" t="str">
        <f>A274</f>
        <v>Chamois</v>
      </c>
      <c r="S335" s="755"/>
    </row>
    <row r="336" spans="1:19" x14ac:dyDescent="0.25">
      <c r="A336" s="546" t="str">
        <v>Pro75-2G</v>
      </c>
      <c r="C336" s="739" t="s">
        <v>184</v>
      </c>
      <c r="D336" s="739"/>
      <c r="F336" s="739" t="s">
        <v>184</v>
      </c>
      <c r="G336" s="739"/>
      <c r="I336" s="744" t="s">
        <v>184</v>
      </c>
      <c r="J336" s="744"/>
      <c r="L336" s="744" t="s">
        <v>184</v>
      </c>
      <c r="M336" s="744"/>
      <c r="O336" s="740" t="str">
        <f>A228</f>
        <v>p29-2G 116G126</v>
      </c>
      <c r="P336" s="741"/>
      <c r="R336" s="755" t="str">
        <f>A284</f>
        <v>Pro75-2G</v>
      </c>
      <c r="S336" s="755"/>
    </row>
    <row r="337" spans="1:19" x14ac:dyDescent="0.25">
      <c r="A337" s="546" t="str">
        <v>Pro98-2G WT</v>
      </c>
      <c r="C337" s="739" t="s">
        <v>184</v>
      </c>
      <c r="D337" s="739"/>
      <c r="F337" s="739" t="s">
        <v>184</v>
      </c>
      <c r="G337" s="739"/>
      <c r="I337" s="744" t="s">
        <v>184</v>
      </c>
      <c r="J337" s="744"/>
      <c r="L337" s="744" t="s">
        <v>184</v>
      </c>
      <c r="M337" s="744"/>
      <c r="O337" s="740" t="str">
        <f>A233</f>
        <v>p29-3G 125G131</v>
      </c>
      <c r="P337" s="741"/>
      <c r="R337" s="755" t="str">
        <f>A294</f>
        <v>Pro98-2G WT</v>
      </c>
      <c r="S337" s="755"/>
    </row>
    <row r="338" spans="1:19" x14ac:dyDescent="0.25">
      <c r="A338" s="546" t="str">
        <v>Pro98-3G WT</v>
      </c>
      <c r="C338" s="739" t="s">
        <v>184</v>
      </c>
      <c r="D338" s="739"/>
      <c r="F338" s="739" t="s">
        <v>184</v>
      </c>
      <c r="G338" s="739"/>
      <c r="I338" s="744" t="s">
        <v>184</v>
      </c>
      <c r="J338" s="744"/>
      <c r="L338" s="744" t="s">
        <v>184</v>
      </c>
      <c r="M338" s="744"/>
      <c r="O338" s="740" t="str">
        <f>A248</f>
        <v>p38-1G 128G185</v>
      </c>
      <c r="P338" s="741"/>
      <c r="R338" s="755" t="str">
        <f>A299</f>
        <v>Pro98-3G WT</v>
      </c>
      <c r="S338" s="755"/>
    </row>
    <row r="339" spans="1:19" x14ac:dyDescent="0.25">
      <c r="A339" s="546" t="str">
        <v>Aucun (2e ét. inerte)</v>
      </c>
      <c r="C339" s="739" t="s">
        <v>184</v>
      </c>
      <c r="D339" s="739"/>
      <c r="F339" s="739" t="s">
        <v>184</v>
      </c>
      <c r="G339" s="739"/>
      <c r="I339" s="744" t="s">
        <v>184</v>
      </c>
      <c r="J339" s="744"/>
      <c r="L339" s="744" t="s">
        <v>184</v>
      </c>
      <c r="M339" s="744"/>
      <c r="O339" s="740" t="str">
        <f>A243</f>
        <v>p38-1G 137G58</v>
      </c>
      <c r="P339" s="741"/>
      <c r="R339" s="755" t="str">
        <f>A309</f>
        <v>Aucun (2e ét. inerte)</v>
      </c>
      <c r="S339" s="755"/>
    </row>
    <row r="340" spans="1:19" x14ac:dyDescent="0.25">
      <c r="A340" s="546" t="str">
        <v xml:space="preserve"> </v>
      </c>
      <c r="C340" s="739" t="s">
        <v>184</v>
      </c>
      <c r="D340" s="739"/>
      <c r="F340" s="739" t="s">
        <v>184</v>
      </c>
      <c r="G340" s="739"/>
      <c r="I340" s="744" t="s">
        <v>184</v>
      </c>
      <c r="J340" s="744"/>
      <c r="L340" s="744" t="s">
        <v>184</v>
      </c>
      <c r="M340" s="744"/>
      <c r="O340" s="740" t="str">
        <f>A253</f>
        <v>p38-1G 141G78</v>
      </c>
      <c r="P340" s="741"/>
      <c r="R340" s="754" t="s">
        <v>184</v>
      </c>
      <c r="S340" s="754"/>
    </row>
    <row r="341" spans="1:19" x14ac:dyDescent="0.25">
      <c r="A341" s="546" t="str">
        <v xml:space="preserve"> </v>
      </c>
      <c r="C341" s="739" t="s">
        <v>184</v>
      </c>
      <c r="D341" s="739"/>
      <c r="F341" s="739" t="s">
        <v>184</v>
      </c>
      <c r="G341" s="739"/>
      <c r="I341" s="743" t="s">
        <v>184</v>
      </c>
      <c r="J341" s="743"/>
      <c r="L341" s="744" t="s">
        <v>184</v>
      </c>
      <c r="M341" s="744"/>
      <c r="O341" s="740" t="str">
        <f>A193</f>
        <v>p24-6G 140G145 PK</v>
      </c>
      <c r="P341" s="741"/>
      <c r="R341" s="739" t="s">
        <v>184</v>
      </c>
      <c r="S341" s="739"/>
    </row>
    <row r="342" spans="1:19" x14ac:dyDescent="0.25">
      <c r="A342" s="546" t="str">
        <v xml:space="preserve"> </v>
      </c>
      <c r="C342" s="739" t="s">
        <v>184</v>
      </c>
      <c r="D342" s="739"/>
      <c r="F342" s="739" t="s">
        <v>184</v>
      </c>
      <c r="G342" s="739"/>
      <c r="I342" s="743" t="s">
        <v>184</v>
      </c>
      <c r="J342" s="743"/>
      <c r="L342" s="744" t="s">
        <v>184</v>
      </c>
      <c r="M342" s="744"/>
      <c r="O342" s="740" t="str">
        <f>A198</f>
        <v>Pandora (Pro24-6G BS)</v>
      </c>
      <c r="P342" s="741"/>
      <c r="R342" s="739" t="s">
        <v>184</v>
      </c>
      <c r="S342" s="739"/>
    </row>
    <row r="343" spans="1:19" x14ac:dyDescent="0.25">
      <c r="A343" s="546" t="str">
        <v xml:space="preserve"> </v>
      </c>
      <c r="C343" s="739" t="s">
        <v>184</v>
      </c>
      <c r="D343" s="739"/>
      <c r="F343" s="739" t="s">
        <v>184</v>
      </c>
      <c r="G343" s="739"/>
      <c r="I343" s="743" t="s">
        <v>184</v>
      </c>
      <c r="J343" s="743"/>
      <c r="L343" s="743" t="s">
        <v>184</v>
      </c>
      <c r="M343" s="743"/>
      <c r="O343" s="745" t="str">
        <f>A203</f>
        <v>p24-6G 142G117 WT</v>
      </c>
      <c r="P343" s="746"/>
      <c r="R343" s="739" t="s">
        <v>184</v>
      </c>
      <c r="S343" s="739"/>
    </row>
    <row r="344" spans="1:19" x14ac:dyDescent="0.25">
      <c r="A344" s="546" t="str">
        <v xml:space="preserve"> </v>
      </c>
      <c r="C344" s="739" t="s">
        <v>184</v>
      </c>
      <c r="D344" s="739"/>
      <c r="F344" s="739" t="s">
        <v>184</v>
      </c>
      <c r="G344" s="739"/>
      <c r="I344" s="759" t="s">
        <v>184</v>
      </c>
      <c r="J344" s="759"/>
      <c r="L344" s="743" t="s">
        <v>184</v>
      </c>
      <c r="M344" s="743"/>
      <c r="O344" s="745" t="str">
        <f>A208</f>
        <v>p24-6G 139G107 DT</v>
      </c>
      <c r="P344" s="746"/>
      <c r="R344" s="739" t="s">
        <v>184</v>
      </c>
      <c r="S344" s="739"/>
    </row>
    <row r="345" spans="1:19" x14ac:dyDescent="0.25">
      <c r="A345" s="546" t="str">
        <v xml:space="preserve"> </v>
      </c>
      <c r="C345" s="739" t="s">
        <v>184</v>
      </c>
      <c r="D345" s="739"/>
      <c r="F345" s="739" t="s">
        <v>184</v>
      </c>
      <c r="G345" s="739"/>
      <c r="I345" s="739" t="s">
        <v>184</v>
      </c>
      <c r="J345" s="739"/>
      <c r="L345" s="743" t="s">
        <v>184</v>
      </c>
      <c r="M345" s="743"/>
      <c r="O345" s="745" t="str">
        <f>A263</f>
        <v>Cariacou</v>
      </c>
      <c r="P345" s="746"/>
      <c r="R345" s="739" t="s">
        <v>184</v>
      </c>
      <c r="S345" s="739"/>
    </row>
    <row r="346" spans="1:19" x14ac:dyDescent="0.25">
      <c r="A346" s="559" t="str">
        <v xml:space="preserve"> </v>
      </c>
      <c r="C346" s="739" t="s">
        <v>184</v>
      </c>
      <c r="D346" s="739"/>
      <c r="F346" s="739" t="s">
        <v>184</v>
      </c>
      <c r="G346" s="739"/>
      <c r="I346" s="739" t="s">
        <v>184</v>
      </c>
      <c r="J346" s="739"/>
      <c r="L346" s="759" t="s">
        <v>184</v>
      </c>
      <c r="M346" s="759"/>
      <c r="O346" s="757" t="str">
        <f>A258</f>
        <v>Wapiti</v>
      </c>
      <c r="P346" s="758"/>
      <c r="R346" s="739" t="s">
        <v>184</v>
      </c>
      <c r="S346" s="739"/>
    </row>
  </sheetData>
  <sheetProtection password="C6AC"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O341:P341"/>
    <mergeCell ref="L334:M334"/>
    <mergeCell ref="F334:G334"/>
    <mergeCell ref="F335:G335"/>
    <mergeCell ref="F336:G336"/>
    <mergeCell ref="F337:G337"/>
    <mergeCell ref="O327:P327"/>
    <mergeCell ref="O333:P333"/>
    <mergeCell ref="L328:M328"/>
    <mergeCell ref="I336:J336"/>
    <mergeCell ref="O332:P332"/>
    <mergeCell ref="L333:M333"/>
    <mergeCell ref="I341:J341"/>
    <mergeCell ref="F326:G326"/>
    <mergeCell ref="F327:G327"/>
    <mergeCell ref="O337:P337"/>
    <mergeCell ref="F339:G339"/>
    <mergeCell ref="F340:G340"/>
    <mergeCell ref="O325:P325"/>
    <mergeCell ref="O330:P330"/>
    <mergeCell ref="L339:M339"/>
    <mergeCell ref="L340:M340"/>
    <mergeCell ref="I340:J340"/>
    <mergeCell ref="I339:J339"/>
    <mergeCell ref="O316:P316"/>
    <mergeCell ref="F329:G329"/>
    <mergeCell ref="F330:G330"/>
    <mergeCell ref="F331:G331"/>
    <mergeCell ref="F324:G324"/>
    <mergeCell ref="F321:G321"/>
    <mergeCell ref="F320:G320"/>
    <mergeCell ref="O323:P323"/>
    <mergeCell ref="O320:P320"/>
    <mergeCell ref="O319:P319"/>
    <mergeCell ref="O324:P324"/>
    <mergeCell ref="F319:G319"/>
    <mergeCell ref="F318:G318"/>
    <mergeCell ref="F317:G317"/>
    <mergeCell ref="O322:P322"/>
    <mergeCell ref="O318:P318"/>
    <mergeCell ref="O317:P317"/>
    <mergeCell ref="I320:J320"/>
    <mergeCell ref="L318:M318"/>
    <mergeCell ref="L319:M319"/>
    <mergeCell ref="L326:M326"/>
    <mergeCell ref="L327:M327"/>
    <mergeCell ref="L321:M321"/>
    <mergeCell ref="L322:M322"/>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26:D326"/>
    <mergeCell ref="C325:D325"/>
    <mergeCell ref="C324:D324"/>
    <mergeCell ref="C323:D323"/>
    <mergeCell ref="C322:D322"/>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16:M316"/>
    <mergeCell ref="C327:D327"/>
    <mergeCell ref="O338:P338"/>
    <mergeCell ref="O336:P336"/>
    <mergeCell ref="I328:J328"/>
    <mergeCell ref="I329:J329"/>
    <mergeCell ref="I330:J330"/>
    <mergeCell ref="I331:J331"/>
    <mergeCell ref="C334:D334"/>
    <mergeCell ref="L338:M338"/>
    <mergeCell ref="F333:G333"/>
    <mergeCell ref="L335:M335"/>
    <mergeCell ref="L336:M336"/>
    <mergeCell ref="I332:J332"/>
    <mergeCell ref="I333:J333"/>
    <mergeCell ref="I334:J334"/>
    <mergeCell ref="I335:J335"/>
    <mergeCell ref="L337:M337"/>
    <mergeCell ref="C330:D330"/>
    <mergeCell ref="C345:D345"/>
    <mergeCell ref="C346:D346"/>
    <mergeCell ref="C335:D335"/>
    <mergeCell ref="C336:D336"/>
    <mergeCell ref="C337:D337"/>
    <mergeCell ref="C338:D338"/>
    <mergeCell ref="C339:D339"/>
    <mergeCell ref="C340:D340"/>
    <mergeCell ref="L323:M323"/>
    <mergeCell ref="L324:M324"/>
    <mergeCell ref="L325:M325"/>
    <mergeCell ref="C333:D333"/>
    <mergeCell ref="L343:M343"/>
    <mergeCell ref="L344:M344"/>
    <mergeCell ref="F338:G338"/>
    <mergeCell ref="C341:D341"/>
    <mergeCell ref="C342:D342"/>
    <mergeCell ref="C343:D343"/>
    <mergeCell ref="I342:J342"/>
    <mergeCell ref="I343:J343"/>
    <mergeCell ref="L341:M341"/>
    <mergeCell ref="L342:M342"/>
    <mergeCell ref="C344:D344"/>
    <mergeCell ref="C329:D329"/>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R317:S318 C317:D324 F317:G321 O322:P339 O342:P342 R334:S339 O340:O341 O317:P319 O320:P321 P341 M324"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B219" sqref="B219"/>
    </sheetView>
  </sheetViews>
  <sheetFormatPr baseColWidth="10" defaultColWidth="11.6640625" defaultRowHeight="13.2" x14ac:dyDescent="0.25"/>
  <cols>
    <col min="1" max="1" width="4.6640625" style="11" bestFit="1" customWidth="1"/>
    <col min="2" max="2" width="6" style="11" bestFit="1" customWidth="1"/>
    <col min="3" max="3" width="1.33203125" style="12" customWidth="1"/>
    <col min="4" max="4" width="7.21875" style="13" customWidth="1"/>
    <col min="5" max="6" width="7.33203125" style="13" customWidth="1"/>
    <col min="7" max="7" width="7.21875" style="13" customWidth="1"/>
    <col min="8" max="8" width="7.33203125" style="13" customWidth="1"/>
    <col min="9" max="9" width="7.21875" style="13" customWidth="1"/>
    <col min="10" max="12" width="7.6640625" style="13" bestFit="1" customWidth="1"/>
    <col min="13" max="13" width="5.77734375" style="13" customWidth="1"/>
    <col min="14" max="14" width="6.33203125" style="13" customWidth="1"/>
    <col min="15" max="15" width="1.33203125" style="12" customWidth="1"/>
    <col min="16" max="16" width="4" style="13" customWidth="1"/>
    <col min="17" max="17" width="8.6640625" style="13" customWidth="1"/>
    <col min="18" max="18" width="5.77734375" style="13" customWidth="1"/>
    <col min="19" max="19" width="5.21875" style="13" customWidth="1"/>
    <col min="20" max="20" width="6" style="13" customWidth="1"/>
    <col min="21" max="21" width="8.77734375" style="13" customWidth="1"/>
    <col min="22" max="22" width="6.77734375" style="13" customWidth="1"/>
    <col min="23" max="23" width="7.21875" style="13" customWidth="1"/>
    <col min="24" max="24" width="1.33203125" style="12" customWidth="1"/>
    <col min="25" max="25" width="15.77734375" style="13" customWidth="1"/>
    <col min="26" max="26" width="5.77734375" style="13" customWidth="1"/>
    <col min="27" max="27" width="7.77734375" style="13" customWidth="1"/>
    <col min="28" max="28" width="1.6640625" style="13" customWidth="1"/>
    <col min="29" max="29" width="7.21875" style="13" bestFit="1" customWidth="1"/>
    <col min="30" max="31" width="6.77734375" style="13" bestFit="1" customWidth="1"/>
    <col min="32" max="32" width="1.77734375" style="13" customWidth="1"/>
    <col min="33" max="238" width="11.33203125" style="13" customWidth="1"/>
    <col min="239" max="239" width="11" style="13" customWidth="1"/>
  </cols>
  <sheetData>
    <row r="1" spans="1:248" ht="13.8" thickBot="1" x14ac:dyDescent="0.3">
      <c r="D1" s="760" t="s">
        <v>266</v>
      </c>
      <c r="E1" s="761"/>
      <c r="F1" s="761"/>
      <c r="G1" s="761"/>
      <c r="H1" s="761"/>
      <c r="I1" s="761"/>
      <c r="J1" s="761"/>
      <c r="K1" s="761"/>
      <c r="L1" s="761"/>
      <c r="M1" s="761"/>
      <c r="N1" s="762"/>
      <c r="P1" s="760" t="s">
        <v>17</v>
      </c>
      <c r="Q1" s="761"/>
      <c r="R1" s="761"/>
      <c r="S1" s="761"/>
      <c r="T1" s="761"/>
      <c r="U1" s="761"/>
      <c r="V1" s="761"/>
      <c r="W1" s="762"/>
      <c r="Y1" s="14"/>
      <c r="Z1" s="14"/>
      <c r="AA1" s="14"/>
      <c r="AC1" s="767" t="s">
        <v>186</v>
      </c>
      <c r="AD1" s="768"/>
      <c r="AE1" s="768"/>
      <c r="AG1" s="763" t="s">
        <v>18</v>
      </c>
      <c r="AH1" s="763"/>
    </row>
    <row r="2" spans="1:248" s="17" customFormat="1" x14ac:dyDescent="0.25">
      <c r="A2" s="383" t="s">
        <v>19</v>
      </c>
      <c r="B2" s="384" t="s">
        <v>2</v>
      </c>
      <c r="C2" s="15"/>
      <c r="D2" s="387" t="s">
        <v>193</v>
      </c>
      <c r="E2" s="388" t="s">
        <v>194</v>
      </c>
      <c r="F2" s="384" t="s">
        <v>195</v>
      </c>
      <c r="G2" s="387" t="s">
        <v>190</v>
      </c>
      <c r="H2" s="388" t="s">
        <v>191</v>
      </c>
      <c r="I2" s="384" t="s">
        <v>192</v>
      </c>
      <c r="J2" s="387" t="s">
        <v>187</v>
      </c>
      <c r="K2" s="388" t="s">
        <v>188</v>
      </c>
      <c r="L2" s="384" t="s">
        <v>189</v>
      </c>
      <c r="M2" s="389" t="s">
        <v>20</v>
      </c>
      <c r="N2" s="384" t="s">
        <v>21</v>
      </c>
      <c r="O2" s="15"/>
      <c r="P2" s="389" t="s">
        <v>26</v>
      </c>
      <c r="Q2" s="384" t="s">
        <v>25</v>
      </c>
      <c r="R2" s="389" t="s">
        <v>22</v>
      </c>
      <c r="S2" s="392" t="s">
        <v>39</v>
      </c>
      <c r="T2" s="384" t="s">
        <v>27</v>
      </c>
      <c r="U2" s="393" t="s">
        <v>28</v>
      </c>
      <c r="V2" s="389" t="s">
        <v>24</v>
      </c>
      <c r="W2" s="384" t="s">
        <v>23</v>
      </c>
      <c r="X2" s="16"/>
      <c r="Y2" s="764" t="s">
        <v>185</v>
      </c>
      <c r="Z2" s="765"/>
      <c r="AA2" s="766"/>
      <c r="AC2" s="389" t="s">
        <v>11</v>
      </c>
      <c r="AD2" s="388" t="s">
        <v>3</v>
      </c>
      <c r="AE2" s="384" t="s">
        <v>29</v>
      </c>
      <c r="AG2" s="400" t="s">
        <v>31</v>
      </c>
      <c r="AH2" s="401" t="s">
        <v>30</v>
      </c>
      <c r="IF2"/>
      <c r="IG2"/>
      <c r="IH2"/>
      <c r="II2"/>
      <c r="IJ2"/>
      <c r="IK2"/>
      <c r="IL2"/>
      <c r="IM2"/>
      <c r="IN2"/>
    </row>
    <row r="3" spans="1:248" s="17" customFormat="1" x14ac:dyDescent="0.25">
      <c r="A3" s="385" t="s">
        <v>154</v>
      </c>
      <c r="B3" s="386" t="s">
        <v>154</v>
      </c>
      <c r="C3" s="15"/>
      <c r="D3" s="390" t="s">
        <v>7</v>
      </c>
      <c r="E3" s="391" t="s">
        <v>7</v>
      </c>
      <c r="F3" s="386" t="s">
        <v>7</v>
      </c>
      <c r="G3" s="390" t="s">
        <v>155</v>
      </c>
      <c r="H3" s="391" t="s">
        <v>155</v>
      </c>
      <c r="I3" s="386" t="s">
        <v>155</v>
      </c>
      <c r="J3" s="390" t="s">
        <v>39</v>
      </c>
      <c r="K3" s="391" t="s">
        <v>39</v>
      </c>
      <c r="L3" s="386" t="s">
        <v>39</v>
      </c>
      <c r="M3" s="385" t="s">
        <v>244</v>
      </c>
      <c r="N3" s="386" t="s">
        <v>156</v>
      </c>
      <c r="O3" s="15"/>
      <c r="P3" s="390" t="s">
        <v>14</v>
      </c>
      <c r="Q3" s="394" t="s">
        <v>227</v>
      </c>
      <c r="R3" s="390" t="s">
        <v>245</v>
      </c>
      <c r="S3" s="395" t="s">
        <v>228</v>
      </c>
      <c r="T3" s="394" t="s">
        <v>227</v>
      </c>
      <c r="U3" s="396" t="s">
        <v>227</v>
      </c>
      <c r="V3" s="390" t="s">
        <v>8</v>
      </c>
      <c r="W3" s="394" t="s">
        <v>227</v>
      </c>
      <c r="X3" s="16"/>
      <c r="Y3" s="397"/>
      <c r="Z3" s="398"/>
      <c r="AA3" s="399"/>
      <c r="AC3" s="390" t="s">
        <v>154</v>
      </c>
      <c r="AD3" s="395" t="s">
        <v>39</v>
      </c>
      <c r="AE3" s="394" t="s">
        <v>39</v>
      </c>
      <c r="AG3" s="397" t="s">
        <v>7</v>
      </c>
      <c r="AH3" s="394" t="s">
        <v>7</v>
      </c>
      <c r="IF3"/>
      <c r="IG3"/>
      <c r="IH3"/>
      <c r="II3"/>
      <c r="IJ3"/>
      <c r="IK3"/>
      <c r="IL3"/>
      <c r="IM3"/>
      <c r="IN3"/>
    </row>
    <row r="4" spans="1:248" x14ac:dyDescent="0.25">
      <c r="A4" s="345" t="s">
        <v>14</v>
      </c>
      <c r="B4" s="404">
        <f>T_ini</f>
        <v>0</v>
      </c>
      <c r="C4" s="342"/>
      <c r="D4" s="345" t="s">
        <v>14</v>
      </c>
      <c r="E4" s="346" t="s">
        <v>14</v>
      </c>
      <c r="F4" s="347" t="s">
        <v>14</v>
      </c>
      <c r="G4" s="345">
        <f>vit_xz*COS(Beta)</f>
        <v>0</v>
      </c>
      <c r="H4" s="346">
        <f>vit_xz*SIN(Beta)</f>
        <v>0</v>
      </c>
      <c r="I4" s="404">
        <f>V_ini</f>
        <v>0</v>
      </c>
      <c r="J4" s="405">
        <f>X_ini</f>
        <v>0</v>
      </c>
      <c r="K4" s="406">
        <f>Z_ini</f>
        <v>0</v>
      </c>
      <c r="L4" s="380">
        <f t="shared" ref="L4:L67" si="0">SQRT(pos_x^2+pos_z^2)</f>
        <v>0</v>
      </c>
      <c r="M4" s="345">
        <f>RADIANS(N4)</f>
        <v>1.3962634015954636</v>
      </c>
      <c r="N4" s="404">
        <f>Beta_rampe</f>
        <v>80</v>
      </c>
      <c r="O4" s="343"/>
      <c r="P4" s="345" t="s">
        <v>14</v>
      </c>
      <c r="Q4" s="347" t="s">
        <v>14</v>
      </c>
      <c r="R4" s="345" t="s">
        <v>14</v>
      </c>
      <c r="S4" s="406">
        <f ca="1">m_tot</f>
        <v>9.6850000000000005</v>
      </c>
      <c r="T4" s="380">
        <f t="shared" ref="T4:T67" ca="1" si="1">m*g</f>
        <v>95.009850000000014</v>
      </c>
      <c r="U4" s="381">
        <f t="shared" ref="U4:U67" ca="1" si="2">IF(pos_xz&lt;L_rampe,Poids*COS(Beta),0)</f>
        <v>16.49828731290841</v>
      </c>
      <c r="V4" s="382">
        <f t="shared" ref="V4:V67" si="3">Rho_moyen*(20000-Alt_rampe-pos_z)/(20000+Alt_rampe+pos_z)</f>
        <v>1.2250000000000001</v>
      </c>
      <c r="W4" s="380">
        <f t="shared" ref="W4:W67" si="4">1/2*Rho*Sref*Cx*vit_xz^2</f>
        <v>0</v>
      </c>
      <c r="X4" s="343"/>
      <c r="Y4" s="348" t="s">
        <v>14</v>
      </c>
      <c r="Z4" s="349" t="s">
        <v>14</v>
      </c>
      <c r="AA4" s="350" t="s">
        <v>14</v>
      </c>
      <c r="AB4" s="344"/>
      <c r="AC4" s="373">
        <f>IF(ABS(t-ROUND(t,0))&lt;0.001,t,-1)</f>
        <v>0</v>
      </c>
      <c r="AD4" s="374">
        <f>IF(ABS(t-ROUND(t,0))&lt;0.001,pos_x,-1)</f>
        <v>0</v>
      </c>
      <c r="AE4" s="375">
        <f t="shared" ref="AE4:AE67" si="5">IF(t&lt;T_para, pos_z, NA())</f>
        <v>0</v>
      </c>
      <c r="AF4" s="344"/>
      <c r="AG4" s="345" t="s">
        <v>14</v>
      </c>
      <c r="AH4" s="347" t="s">
        <v>14</v>
      </c>
    </row>
    <row r="5" spans="1:248" x14ac:dyDescent="0.25">
      <c r="A5" s="402">
        <f t="shared" ref="A5:A68" ca="1" si="6">IF(B4+0.01&lt;=T_ini+ROUNDUP(Temps_fin_propu,0), 0.01, IF(K4&gt;0, 0.1, 0.0001))</f>
        <v>0.01</v>
      </c>
      <c r="B5" s="357">
        <f t="shared" ref="B5:B68" ca="1" si="7">B4+pas</f>
        <v>0.01</v>
      </c>
      <c r="C5" s="342"/>
      <c r="D5" s="359">
        <f t="shared" ref="D5:D68" ca="1" si="8">IF(AND(L4&lt;L_rampe,Poussee&lt;Poids*SIN(M4)),0,(-W4+Poussee)/m*COS(M4)-U4/m*SIN(M4))</f>
        <v>0</v>
      </c>
      <c r="E5" s="360">
        <f t="shared" ref="E5:E68" ca="1" si="9">IF(AND(L4&lt;L_rampe,Poussee&lt;Poids*SIN(M4)),0,(-W4+Poussee)/m*SIN(M4)+U4/m*COS(M4)-Poids/m)</f>
        <v>0</v>
      </c>
      <c r="F5" s="357">
        <f t="shared" ref="F5:F68" ca="1" si="10">SQRT(acc_x^2+acc_z^2)</f>
        <v>0</v>
      </c>
      <c r="G5" s="359">
        <f t="shared" ref="G5:G68" ca="1" si="11">G4+acc_x*pas</f>
        <v>0</v>
      </c>
      <c r="H5" s="360">
        <f t="shared" ref="H5:H68" ca="1" si="12">H4+acc_z*pas</f>
        <v>0</v>
      </c>
      <c r="I5" s="357">
        <f t="shared" ref="I5:I68" ca="1" si="13">SQRT(vit_x^2+vit_z^2)</f>
        <v>0</v>
      </c>
      <c r="J5" s="359">
        <f t="shared" ref="J5:J68" ca="1" si="14">J4+0.5*(vit_x+G4)*pas*(K4&gt;=0)</f>
        <v>0</v>
      </c>
      <c r="K5" s="360">
        <f t="shared" ref="K5:K68" ca="1" si="15">K4+0.5*(vit_z+H4)*pas</f>
        <v>0</v>
      </c>
      <c r="L5" s="357">
        <f t="shared" ca="1" si="0"/>
        <v>0</v>
      </c>
      <c r="M5" s="359">
        <f t="shared" ref="M5:M68" ca="1" si="16">IF(AND(L4&gt;L_rampe,G5&gt;0),ATAN2(G5,H5),$M$4)</f>
        <v>1.3962634015954636</v>
      </c>
      <c r="N5" s="357">
        <f t="shared" ref="N5:N68" ca="1" si="17">DEGREES(Beta)</f>
        <v>80</v>
      </c>
      <c r="O5" s="343"/>
      <c r="P5" s="363">
        <f t="shared" ref="P5:P68" ca="1" si="18">MATCH(t-pas/2-T_ini,CdP_t)</f>
        <v>1</v>
      </c>
      <c r="Q5" s="357">
        <f t="shared" ref="Q5:Q68" ca="1" si="19">(INDEX(CdP,2,i_P+1)-INDEX(CdP,2,i_P+0))/(INDEX(CdP,1,i_P+1)-INDEX(CdP,1,i_P+0))*(t-pas/2-T_ini-INDEX(CdP,1,i_P+0))+INDEX(CdP,2,i_P+0)</f>
        <v>89.3</v>
      </c>
      <c r="R5" s="359">
        <f t="shared" ref="R5:R68" ca="1" si="20">Poussee/(g*ISP)</f>
        <v>4.4815509359347437E-2</v>
      </c>
      <c r="S5" s="360">
        <f t="shared" ref="S5:S68" ca="1" si="21">S4-Débit*pas</f>
        <v>9.684551844906407</v>
      </c>
      <c r="T5" s="357">
        <f t="shared" ca="1" si="1"/>
        <v>95.005453598531858</v>
      </c>
      <c r="U5" s="364">
        <f t="shared" ca="1" si="2"/>
        <v>16.497523885805172</v>
      </c>
      <c r="V5" s="359">
        <f t="shared" ca="1" si="3"/>
        <v>1.2250000000000001</v>
      </c>
      <c r="W5" s="357">
        <f t="shared" ca="1" si="4"/>
        <v>0</v>
      </c>
      <c r="X5" s="343"/>
      <c r="Y5" s="367" t="str">
        <f t="shared" ref="Y5:Y68" ca="1" si="22">IF(AND(pos_z&lt;=0,K4&gt;0),"Impact balistique","") &amp; IF(AND(H6&lt;0,vit_z&gt;=0),"Apogée","") &amp; IF(AND(Poussee=0,Q4&gt;0),"Fin de propulsion","") &amp; IF(AND(L6&gt;L_rampe,pos_xz&lt;=L_rampe),"Sortie de rampe","")</f>
        <v/>
      </c>
      <c r="Z5" s="368" t="str">
        <f t="shared" ref="Z5:Z68" ca="1" si="23">IF(ABS(t-T_para)&lt;pas/2,"Para","")</f>
        <v/>
      </c>
      <c r="AA5" s="369" t="str">
        <f t="shared" ref="AA5:AA68" ca="1" si="24">IF(ABS(t-T_satellite)&lt;pas/2,"Satellite","")</f>
        <v/>
      </c>
      <c r="AB5" s="344"/>
      <c r="AC5" s="363" t="e">
        <f t="shared" ref="AC5:AC68" ca="1" si="25">IF(ABS(t-ROUND(t,0))&lt;0.001,t,NA())</f>
        <v>#N/A</v>
      </c>
      <c r="AD5" s="376" t="e">
        <f t="shared" ref="AD5:AD68" ca="1" si="26">IF(ABS(t-ROUND(t,0))&lt;0.001,pos_x,NA())</f>
        <v>#N/A</v>
      </c>
      <c r="AE5" s="377">
        <f t="shared" ca="1" si="5"/>
        <v>0</v>
      </c>
      <c r="AF5" s="344"/>
      <c r="AG5" s="359">
        <f t="shared" ref="AG5:AG68" ca="1" si="27">IF(AND(L4&lt;L_rampe,Poussee&lt;Poids*SIN(M4)),0,(-W4+Poussee)/m-Poids*SIN(M4)/m)</f>
        <v>0</v>
      </c>
      <c r="AH5" s="357">
        <f t="shared" ref="AH5:AH68" ca="1" si="28">IF(AND(L4&lt;L_rampe,Poussee&lt;Poids*SIN(M4)), g*SIN(M4), (-W4+Poussee)/m)</f>
        <v>9.6609640570497604</v>
      </c>
    </row>
    <row r="6" spans="1:248" x14ac:dyDescent="0.25">
      <c r="A6" s="402">
        <f t="shared" ca="1" si="6"/>
        <v>0.01</v>
      </c>
      <c r="B6" s="357">
        <f t="shared" ca="1" si="7"/>
        <v>0.02</v>
      </c>
      <c r="C6" s="342"/>
      <c r="D6" s="359">
        <f t="shared" ca="1" si="8"/>
        <v>3.1263873819767425</v>
      </c>
      <c r="E6" s="360">
        <f t="shared" ca="1" si="9"/>
        <v>17.731985990293666</v>
      </c>
      <c r="F6" s="357">
        <f t="shared" ca="1" si="10"/>
        <v>18.00548875265968</v>
      </c>
      <c r="G6" s="359">
        <f t="shared" ca="1" si="11"/>
        <v>3.1263873819767425E-2</v>
      </c>
      <c r="H6" s="360">
        <f t="shared" ca="1" si="12"/>
        <v>0.17731985990293667</v>
      </c>
      <c r="I6" s="357">
        <f t="shared" ca="1" si="13"/>
        <v>0.18005488752659679</v>
      </c>
      <c r="J6" s="359">
        <f t="shared" ca="1" si="14"/>
        <v>1.5631936909883714E-4</v>
      </c>
      <c r="K6" s="360">
        <f t="shared" ca="1" si="15"/>
        <v>8.8659929951468331E-4</v>
      </c>
      <c r="L6" s="357">
        <f t="shared" ca="1" si="0"/>
        <v>9.0027443763298406E-4</v>
      </c>
      <c r="M6" s="359">
        <f t="shared" ca="1" si="16"/>
        <v>1.3962634015954636</v>
      </c>
      <c r="N6" s="357">
        <f t="shared" ca="1" si="17"/>
        <v>80</v>
      </c>
      <c r="O6" s="343"/>
      <c r="P6" s="363">
        <f t="shared" ca="1" si="18"/>
        <v>1</v>
      </c>
      <c r="Q6" s="357">
        <f t="shared" ca="1" si="19"/>
        <v>267.89999999999998</v>
      </c>
      <c r="R6" s="359">
        <f t="shared" ca="1" si="20"/>
        <v>0.1344465280780423</v>
      </c>
      <c r="S6" s="360">
        <f t="shared" ca="1" si="21"/>
        <v>9.6832073796256264</v>
      </c>
      <c r="T6" s="357">
        <f t="shared" ca="1" si="1"/>
        <v>94.992264394127403</v>
      </c>
      <c r="U6" s="364">
        <f t="shared" ca="1" si="2"/>
        <v>16.495233604495464</v>
      </c>
      <c r="V6" s="359">
        <f t="shared" ca="1" si="3"/>
        <v>1.2249998913915905</v>
      </c>
      <c r="W6" s="357">
        <f t="shared" ca="1" si="4"/>
        <v>8.9892921956622482E-5</v>
      </c>
      <c r="X6" s="343"/>
      <c r="Y6" s="367" t="str">
        <f t="shared" ca="1" si="22"/>
        <v/>
      </c>
      <c r="Z6" s="368" t="str">
        <f t="shared" ca="1" si="23"/>
        <v/>
      </c>
      <c r="AA6" s="369" t="str">
        <f t="shared" ca="1" si="24"/>
        <v/>
      </c>
      <c r="AB6" s="344"/>
      <c r="AC6" s="363" t="e">
        <f t="shared" ca="1" si="25"/>
        <v>#N/A</v>
      </c>
      <c r="AD6" s="376" t="e">
        <f t="shared" ca="1" si="26"/>
        <v>#N/A</v>
      </c>
      <c r="AE6" s="377">
        <f t="shared" ca="1" si="5"/>
        <v>8.8659929951468331E-4</v>
      </c>
      <c r="AF6" s="344"/>
      <c r="AG6" s="359">
        <f t="shared" ca="1" si="27"/>
        <v>18.005488751106206</v>
      </c>
      <c r="AH6" s="357">
        <f t="shared" ca="1" si="28"/>
        <v>27.666452808155967</v>
      </c>
    </row>
    <row r="7" spans="1:248" x14ac:dyDescent="0.25">
      <c r="A7" s="402">
        <f t="shared" ca="1" si="6"/>
        <v>0.01</v>
      </c>
      <c r="B7" s="357">
        <f t="shared" ca="1" si="7"/>
        <v>0.03</v>
      </c>
      <c r="C7" s="342"/>
      <c r="D7" s="359">
        <f t="shared" ca="1" si="8"/>
        <v>6.3309031301446641</v>
      </c>
      <c r="E7" s="360">
        <f t="shared" ca="1" si="9"/>
        <v>35.906606465540463</v>
      </c>
      <c r="F7" s="357">
        <f t="shared" ca="1" si="10"/>
        <v>36.46045422529</v>
      </c>
      <c r="G7" s="359">
        <f t="shared" ca="1" si="11"/>
        <v>9.4572905121214079E-2</v>
      </c>
      <c r="H7" s="360">
        <f t="shared" ca="1" si="12"/>
        <v>0.53638592455834133</v>
      </c>
      <c r="I7" s="357">
        <f t="shared" ca="1" si="13"/>
        <v>0.54465942977917203</v>
      </c>
      <c r="J7" s="359">
        <f t="shared" ca="1" si="14"/>
        <v>7.8550326380374459E-4</v>
      </c>
      <c r="K7" s="360">
        <f t="shared" ca="1" si="15"/>
        <v>4.4551282218210728E-3</v>
      </c>
      <c r="L7" s="357">
        <f t="shared" ca="1" si="0"/>
        <v>4.5238460241605188E-3</v>
      </c>
      <c r="M7" s="359">
        <f t="shared" ca="1" si="16"/>
        <v>1.3962634015954636</v>
      </c>
      <c r="N7" s="357">
        <f t="shared" ca="1" si="17"/>
        <v>80</v>
      </c>
      <c r="O7" s="343"/>
      <c r="P7" s="363">
        <f t="shared" ca="1" si="18"/>
        <v>1</v>
      </c>
      <c r="Q7" s="357">
        <f t="shared" ca="1" si="19"/>
        <v>446.49999999999994</v>
      </c>
      <c r="R7" s="359">
        <f t="shared" ca="1" si="20"/>
        <v>0.22407754679673716</v>
      </c>
      <c r="S7" s="360">
        <f t="shared" ca="1" si="21"/>
        <v>9.6809666041576588</v>
      </c>
      <c r="T7" s="357">
        <f t="shared" ca="1" si="1"/>
        <v>94.970282386786636</v>
      </c>
      <c r="U7" s="364">
        <f t="shared" ca="1" si="2"/>
        <v>16.491416468979278</v>
      </c>
      <c r="V7" s="359">
        <f t="shared" ca="1" si="3"/>
        <v>1.2249994542469143</v>
      </c>
      <c r="W7" s="357">
        <f t="shared" ca="1" si="4"/>
        <v>8.225561753324853E-4</v>
      </c>
      <c r="X7" s="343"/>
      <c r="Y7" s="367" t="str">
        <f t="shared" ca="1" si="22"/>
        <v/>
      </c>
      <c r="Z7" s="368" t="str">
        <f t="shared" ca="1" si="23"/>
        <v/>
      </c>
      <c r="AA7" s="369" t="str">
        <f t="shared" ca="1" si="24"/>
        <v/>
      </c>
      <c r="AB7" s="344"/>
      <c r="AC7" s="363" t="e">
        <f t="shared" ca="1" si="25"/>
        <v>#N/A</v>
      </c>
      <c r="AD7" s="376" t="e">
        <f t="shared" ca="1" si="26"/>
        <v>#N/A</v>
      </c>
      <c r="AE7" s="377">
        <f t="shared" ca="1" si="5"/>
        <v>4.4551282218210728E-3</v>
      </c>
      <c r="AF7" s="344"/>
      <c r="AG7" s="359">
        <f t="shared" ca="1" si="27"/>
        <v>36.46045422315801</v>
      </c>
      <c r="AH7" s="357">
        <f t="shared" ca="1" si="28"/>
        <v>46.12141828020777</v>
      </c>
    </row>
    <row r="8" spans="1:248" x14ac:dyDescent="0.25">
      <c r="A8" s="402">
        <f t="shared" ca="1" si="6"/>
        <v>0.01</v>
      </c>
      <c r="B8" s="357">
        <f t="shared" ca="1" si="7"/>
        <v>0.04</v>
      </c>
      <c r="C8" s="342"/>
      <c r="D8" s="359">
        <f t="shared" ca="1" si="8"/>
        <v>9.5379297652368997</v>
      </c>
      <c r="E8" s="360">
        <f t="shared" ca="1" si="9"/>
        <v>54.095467603330469</v>
      </c>
      <c r="F8" s="357">
        <f t="shared" ca="1" si="10"/>
        <v>54.929880023804607</v>
      </c>
      <c r="G8" s="359">
        <f t="shared" ca="1" si="11"/>
        <v>0.18995220277358307</v>
      </c>
      <c r="H8" s="360">
        <f t="shared" ca="1" si="12"/>
        <v>1.0773406005916462</v>
      </c>
      <c r="I8" s="357">
        <f t="shared" ca="1" si="13"/>
        <v>1.0939582300168984</v>
      </c>
      <c r="J8" s="359">
        <f t="shared" ca="1" si="14"/>
        <v>2.2081288032777301E-3</v>
      </c>
      <c r="K8" s="360">
        <f t="shared" ca="1" si="15"/>
        <v>1.252376084757101E-2</v>
      </c>
      <c r="L8" s="357">
        <f t="shared" ca="1" si="0"/>
        <v>1.271693432313847E-2</v>
      </c>
      <c r="M8" s="359">
        <f t="shared" ca="1" si="16"/>
        <v>1.3962634015954636</v>
      </c>
      <c r="N8" s="357">
        <f t="shared" ca="1" si="17"/>
        <v>80</v>
      </c>
      <c r="O8" s="343"/>
      <c r="P8" s="363">
        <f t="shared" ca="1" si="18"/>
        <v>1</v>
      </c>
      <c r="Q8" s="357">
        <f t="shared" ca="1" si="19"/>
        <v>625.1</v>
      </c>
      <c r="R8" s="359">
        <f t="shared" ca="1" si="20"/>
        <v>0.31370856551543208</v>
      </c>
      <c r="S8" s="360">
        <f t="shared" ca="1" si="21"/>
        <v>9.6778295185025041</v>
      </c>
      <c r="T8" s="357">
        <f t="shared" ca="1" si="1"/>
        <v>94.93950757650957</v>
      </c>
      <c r="U8" s="364">
        <f t="shared" ca="1" si="2"/>
        <v>16.48607247925662</v>
      </c>
      <c r="V8" s="359">
        <f t="shared" ca="1" si="3"/>
        <v>1.2249984658402568</v>
      </c>
      <c r="W8" s="357">
        <f t="shared" ca="1" si="4"/>
        <v>3.3183076056119611E-3</v>
      </c>
      <c r="X8" s="343"/>
      <c r="Y8" s="367" t="str">
        <f t="shared" ca="1" si="22"/>
        <v/>
      </c>
      <c r="Z8" s="368" t="str">
        <f t="shared" ca="1" si="23"/>
        <v/>
      </c>
      <c r="AA8" s="369" t="str">
        <f t="shared" ca="1" si="24"/>
        <v/>
      </c>
      <c r="AB8" s="344"/>
      <c r="AC8" s="363" t="e">
        <f t="shared" ca="1" si="25"/>
        <v>#N/A</v>
      </c>
      <c r="AD8" s="376" t="e">
        <f t="shared" ca="1" si="26"/>
        <v>#N/A</v>
      </c>
      <c r="AE8" s="377">
        <f t="shared" ca="1" si="5"/>
        <v>1.252376084757101E-2</v>
      </c>
      <c r="AF8" s="344"/>
      <c r="AG8" s="359">
        <f t="shared" ca="1" si="27"/>
        <v>54.929880021029142</v>
      </c>
      <c r="AH8" s="357">
        <f t="shared" ca="1" si="28"/>
        <v>64.590844078078902</v>
      </c>
    </row>
    <row r="9" spans="1:248" x14ac:dyDescent="0.25">
      <c r="A9" s="402">
        <f t="shared" ca="1" si="6"/>
        <v>0.01</v>
      </c>
      <c r="B9" s="357">
        <f t="shared" ca="1" si="7"/>
        <v>0.05</v>
      </c>
      <c r="C9" s="342"/>
      <c r="D9" s="359">
        <f t="shared" ca="1" si="8"/>
        <v>12.748341045731857</v>
      </c>
      <c r="E9" s="360">
        <f t="shared" ca="1" si="9"/>
        <v>72.3035249876785</v>
      </c>
      <c r="F9" s="357">
        <f t="shared" ca="1" si="10"/>
        <v>73.418798172281058</v>
      </c>
      <c r="G9" s="359">
        <f t="shared" ca="1" si="11"/>
        <v>0.31743561323090164</v>
      </c>
      <c r="H9" s="360">
        <f t="shared" ca="1" si="12"/>
        <v>1.8003758504684311</v>
      </c>
      <c r="I9" s="357">
        <f t="shared" ca="1" si="13"/>
        <v>1.8281462117394234</v>
      </c>
      <c r="J9" s="359">
        <f t="shared" ca="1" si="14"/>
        <v>4.7450678833001539E-3</v>
      </c>
      <c r="K9" s="360">
        <f t="shared" ca="1" si="15"/>
        <v>2.6912343102871397E-2</v>
      </c>
      <c r="L9" s="357">
        <f t="shared" ca="1" si="0"/>
        <v>2.7327456531916691E-2</v>
      </c>
      <c r="M9" s="359">
        <f t="shared" ca="1" si="16"/>
        <v>1.3962634015954636</v>
      </c>
      <c r="N9" s="357">
        <f t="shared" ca="1" si="17"/>
        <v>80</v>
      </c>
      <c r="O9" s="343"/>
      <c r="P9" s="363">
        <f t="shared" ca="1" si="18"/>
        <v>1</v>
      </c>
      <c r="Q9" s="357">
        <f t="shared" ca="1" si="19"/>
        <v>803.7</v>
      </c>
      <c r="R9" s="359">
        <f t="shared" ca="1" si="20"/>
        <v>0.40333958423412697</v>
      </c>
      <c r="S9" s="360">
        <f t="shared" ca="1" si="21"/>
        <v>9.6737961226601623</v>
      </c>
      <c r="T9" s="357">
        <f t="shared" ca="1" si="1"/>
        <v>94.899939963296191</v>
      </c>
      <c r="U9" s="364">
        <f t="shared" ca="1" si="2"/>
        <v>16.479201635327488</v>
      </c>
      <c r="V9" s="359">
        <f t="shared" ca="1" si="3"/>
        <v>1.2249967032424061</v>
      </c>
      <c r="W9" s="357">
        <f t="shared" ca="1" si="4"/>
        <v>9.2669408609580926E-3</v>
      </c>
      <c r="X9" s="343"/>
      <c r="Y9" s="367" t="str">
        <f t="shared" ca="1" si="22"/>
        <v/>
      </c>
      <c r="Z9" s="368" t="str">
        <f t="shared" ca="1" si="23"/>
        <v/>
      </c>
      <c r="AA9" s="369" t="str">
        <f t="shared" ca="1" si="24"/>
        <v/>
      </c>
      <c r="AB9" s="344"/>
      <c r="AC9" s="363" t="e">
        <f t="shared" ca="1" si="25"/>
        <v>#N/A</v>
      </c>
      <c r="AD9" s="376" t="e">
        <f t="shared" ca="1" si="26"/>
        <v>#N/A</v>
      </c>
      <c r="AE9" s="377">
        <f t="shared" ca="1" si="5"/>
        <v>2.6912343102871397E-2</v>
      </c>
      <c r="AF9" s="344"/>
      <c r="AG9" s="359">
        <f t="shared" ca="1" si="27"/>
        <v>73.418798168845569</v>
      </c>
      <c r="AH9" s="357">
        <f t="shared" ca="1" si="28"/>
        <v>83.079762225895337</v>
      </c>
    </row>
    <row r="10" spans="1:248" x14ac:dyDescent="0.25">
      <c r="A10" s="402">
        <f t="shared" ca="1" si="6"/>
        <v>0.01</v>
      </c>
      <c r="B10" s="357">
        <f t="shared" ca="1" si="7"/>
        <v>6.0000000000000005E-2</v>
      </c>
      <c r="C10" s="342"/>
      <c r="D10" s="359">
        <f t="shared" ca="1" si="8"/>
        <v>14.339588979798853</v>
      </c>
      <c r="E10" s="360">
        <f t="shared" ca="1" si="9"/>
        <v>81.328391661085334</v>
      </c>
      <c r="F10" s="357">
        <f t="shared" ca="1" si="10"/>
        <v>82.582874146450379</v>
      </c>
      <c r="G10" s="359">
        <f t="shared" ca="1" si="11"/>
        <v>0.4608315030288902</v>
      </c>
      <c r="H10" s="360">
        <f t="shared" ca="1" si="12"/>
        <v>2.6136597670792843</v>
      </c>
      <c r="I10" s="357">
        <f t="shared" ca="1" si="13"/>
        <v>2.653974953203742</v>
      </c>
      <c r="J10" s="359">
        <f t="shared" ca="1" si="14"/>
        <v>8.6364034645991135E-3</v>
      </c>
      <c r="K10" s="360">
        <f t="shared" ca="1" si="15"/>
        <v>4.8982521190609973E-2</v>
      </c>
      <c r="L10" s="357">
        <f t="shared" ca="1" si="0"/>
        <v>4.9738062356628795E-2</v>
      </c>
      <c r="M10" s="359">
        <f t="shared" ca="1" si="16"/>
        <v>1.3962634015954636</v>
      </c>
      <c r="N10" s="357">
        <f t="shared" ca="1" si="17"/>
        <v>80</v>
      </c>
      <c r="O10" s="343"/>
      <c r="P10" s="363">
        <f t="shared" ca="1" si="18"/>
        <v>2</v>
      </c>
      <c r="Q10" s="357">
        <f t="shared" ca="1" si="19"/>
        <v>891.94444444444446</v>
      </c>
      <c r="R10" s="359">
        <f t="shared" ca="1" si="20"/>
        <v>0.44762535944029064</v>
      </c>
      <c r="S10" s="360">
        <f t="shared" ca="1" si="21"/>
        <v>9.6693198690657596</v>
      </c>
      <c r="T10" s="357">
        <f t="shared" ca="1" si="1"/>
        <v>94.856027915535108</v>
      </c>
      <c r="U10" s="364">
        <f t="shared" ca="1" si="2"/>
        <v>16.471576388256153</v>
      </c>
      <c r="V10" s="359">
        <f t="shared" ca="1" si="3"/>
        <v>1.2249939996558499</v>
      </c>
      <c r="W10" s="357">
        <f t="shared" ca="1" si="4"/>
        <v>1.9530223760944522E-2</v>
      </c>
      <c r="X10" s="343"/>
      <c r="Y10" s="367" t="str">
        <f t="shared" ca="1" si="22"/>
        <v/>
      </c>
      <c r="Z10" s="368" t="str">
        <f t="shared" ca="1" si="23"/>
        <v/>
      </c>
      <c r="AA10" s="369" t="str">
        <f t="shared" ca="1" si="24"/>
        <v/>
      </c>
      <c r="AB10" s="344"/>
      <c r="AC10" s="363" t="e">
        <f t="shared" ca="1" si="25"/>
        <v>#N/A</v>
      </c>
      <c r="AD10" s="376" t="e">
        <f t="shared" ca="1" si="26"/>
        <v>#N/A</v>
      </c>
      <c r="AE10" s="377">
        <f t="shared" ca="1" si="5"/>
        <v>4.8982521190609973E-2</v>
      </c>
      <c r="AF10" s="344"/>
      <c r="AG10" s="359">
        <f t="shared" ca="1" si="27"/>
        <v>82.582874142685114</v>
      </c>
      <c r="AH10" s="357">
        <f t="shared" ca="1" si="28"/>
        <v>92.243838199734881</v>
      </c>
    </row>
    <row r="11" spans="1:248" x14ac:dyDescent="0.25">
      <c r="A11" s="402">
        <f t="shared" ca="1" si="6"/>
        <v>0.01</v>
      </c>
      <c r="B11" s="357">
        <f t="shared" ca="1" si="7"/>
        <v>7.0000000000000007E-2</v>
      </c>
      <c r="C11" s="342"/>
      <c r="D11" s="359">
        <f t="shared" ca="1" si="8"/>
        <v>14.308876909500842</v>
      </c>
      <c r="E11" s="360">
        <f t="shared" ca="1" si="9"/>
        <v>81.154206199718857</v>
      </c>
      <c r="F11" s="357">
        <f t="shared" ca="1" si="10"/>
        <v>82.406001858588752</v>
      </c>
      <c r="G11" s="359">
        <f t="shared" ca="1" si="11"/>
        <v>0.60392027212389865</v>
      </c>
      <c r="H11" s="360">
        <f t="shared" ca="1" si="12"/>
        <v>3.4252018290764727</v>
      </c>
      <c r="I11" s="357">
        <f t="shared" ca="1" si="13"/>
        <v>3.4780349717895334</v>
      </c>
      <c r="J11" s="359">
        <f t="shared" ca="1" si="14"/>
        <v>1.3960162340363059E-2</v>
      </c>
      <c r="K11" s="360">
        <f t="shared" ca="1" si="15"/>
        <v>7.9176829171388755E-2</v>
      </c>
      <c r="L11" s="357">
        <f t="shared" ca="1" si="0"/>
        <v>8.0398111981591761E-2</v>
      </c>
      <c r="M11" s="359">
        <f t="shared" ca="1" si="16"/>
        <v>1.3962634015954636</v>
      </c>
      <c r="N11" s="357">
        <f t="shared" ca="1" si="17"/>
        <v>80</v>
      </c>
      <c r="O11" s="343"/>
      <c r="P11" s="363">
        <f t="shared" ca="1" si="18"/>
        <v>2</v>
      </c>
      <c r="Q11" s="357">
        <f t="shared" ca="1" si="19"/>
        <v>889.83333333333337</v>
      </c>
      <c r="R11" s="359">
        <f t="shared" ca="1" si="20"/>
        <v>0.44656589113392309</v>
      </c>
      <c r="S11" s="360">
        <f t="shared" ca="1" si="21"/>
        <v>9.6648542101544201</v>
      </c>
      <c r="T11" s="357">
        <f t="shared" ca="1" si="1"/>
        <v>94.812219801614873</v>
      </c>
      <c r="U11" s="364">
        <f t="shared" ca="1" si="2"/>
        <v>16.463969189106876</v>
      </c>
      <c r="V11" s="359">
        <f t="shared" ca="1" si="3"/>
        <v>1.2249903008768239</v>
      </c>
      <c r="W11" s="357">
        <f t="shared" ca="1" si="4"/>
        <v>3.3541320541488777E-2</v>
      </c>
      <c r="X11" s="343"/>
      <c r="Y11" s="367" t="str">
        <f t="shared" ca="1" si="22"/>
        <v/>
      </c>
      <c r="Z11" s="368" t="str">
        <f t="shared" ca="1" si="23"/>
        <v/>
      </c>
      <c r="AA11" s="369" t="str">
        <f t="shared" ca="1" si="24"/>
        <v/>
      </c>
      <c r="AB11" s="344"/>
      <c r="AC11" s="363" t="e">
        <f t="shared" ca="1" si="25"/>
        <v>#N/A</v>
      </c>
      <c r="AD11" s="376" t="e">
        <f t="shared" ca="1" si="26"/>
        <v>#N/A</v>
      </c>
      <c r="AE11" s="377">
        <f t="shared" ca="1" si="5"/>
        <v>7.9176829171388755E-2</v>
      </c>
      <c r="AF11" s="344"/>
      <c r="AG11" s="359">
        <f t="shared" ca="1" si="27"/>
        <v>82.406001854829768</v>
      </c>
      <c r="AH11" s="357">
        <f t="shared" ca="1" si="28"/>
        <v>92.066965911879535</v>
      </c>
    </row>
    <row r="12" spans="1:248" x14ac:dyDescent="0.25">
      <c r="A12" s="402">
        <f t="shared" ca="1" si="6"/>
        <v>0.01</v>
      </c>
      <c r="B12" s="357">
        <f t="shared" ca="1" si="7"/>
        <v>0.08</v>
      </c>
      <c r="C12" s="342"/>
      <c r="D12" s="359">
        <f t="shared" ca="1" si="8"/>
        <v>14.278051578181248</v>
      </c>
      <c r="E12" s="360">
        <f t="shared" ca="1" si="9"/>
        <v>80.979378390215984</v>
      </c>
      <c r="F12" s="357">
        <f t="shared" ca="1" si="10"/>
        <v>82.22847731373227</v>
      </c>
      <c r="G12" s="359">
        <f t="shared" ca="1" si="11"/>
        <v>0.74670078790571115</v>
      </c>
      <c r="H12" s="360">
        <f t="shared" ca="1" si="12"/>
        <v>4.2349956129786328</v>
      </c>
      <c r="I12" s="357">
        <f t="shared" ca="1" si="13"/>
        <v>4.3003197449267976</v>
      </c>
      <c r="J12" s="359">
        <f t="shared" ca="1" si="14"/>
        <v>2.071326764051111E-2</v>
      </c>
      <c r="K12" s="360">
        <f t="shared" ca="1" si="15"/>
        <v>0.11747781638166428</v>
      </c>
      <c r="L12" s="357">
        <f t="shared" ca="1" si="0"/>
        <v>0.11928988556517051</v>
      </c>
      <c r="M12" s="359">
        <f t="shared" ca="1" si="16"/>
        <v>1.3962634015954636</v>
      </c>
      <c r="N12" s="357">
        <f t="shared" ca="1" si="17"/>
        <v>80</v>
      </c>
      <c r="O12" s="343"/>
      <c r="P12" s="363">
        <f t="shared" ca="1" si="18"/>
        <v>2</v>
      </c>
      <c r="Q12" s="357">
        <f t="shared" ca="1" si="19"/>
        <v>887.72222222222217</v>
      </c>
      <c r="R12" s="359">
        <f t="shared" ca="1" si="20"/>
        <v>0.44550642282755548</v>
      </c>
      <c r="S12" s="360">
        <f t="shared" ca="1" si="21"/>
        <v>9.660399145926144</v>
      </c>
      <c r="T12" s="357">
        <f t="shared" ca="1" si="1"/>
        <v>94.768515621535471</v>
      </c>
      <c r="U12" s="364">
        <f t="shared" ca="1" si="2"/>
        <v>16.456380037879661</v>
      </c>
      <c r="V12" s="359">
        <f t="shared" ca="1" si="3"/>
        <v>1.2249856090520244</v>
      </c>
      <c r="W12" s="357">
        <f t="shared" ca="1" si="4"/>
        <v>5.127575939301493E-2</v>
      </c>
      <c r="X12" s="343"/>
      <c r="Y12" s="367" t="str">
        <f t="shared" ca="1" si="22"/>
        <v/>
      </c>
      <c r="Z12" s="368" t="str">
        <f t="shared" ca="1" si="23"/>
        <v/>
      </c>
      <c r="AA12" s="369" t="str">
        <f t="shared" ca="1" si="24"/>
        <v/>
      </c>
      <c r="AB12" s="344"/>
      <c r="AC12" s="363" t="e">
        <f t="shared" ca="1" si="25"/>
        <v>#N/A</v>
      </c>
      <c r="AD12" s="376" t="e">
        <f t="shared" ca="1" si="26"/>
        <v>#N/A</v>
      </c>
      <c r="AE12" s="377">
        <f t="shared" ca="1" si="5"/>
        <v>0.11747781638166428</v>
      </c>
      <c r="AF12" s="344"/>
      <c r="AG12" s="359">
        <f t="shared" ca="1" si="27"/>
        <v>82.228477309979581</v>
      </c>
      <c r="AH12" s="357">
        <f t="shared" ca="1" si="28"/>
        <v>91.889441367029335</v>
      </c>
    </row>
    <row r="13" spans="1:248" x14ac:dyDescent="0.25">
      <c r="A13" s="402">
        <f t="shared" ca="1" si="6"/>
        <v>0.01</v>
      </c>
      <c r="B13" s="357">
        <f t="shared" ca="1" si="7"/>
        <v>0.09</v>
      </c>
      <c r="C13" s="342"/>
      <c r="D13" s="359">
        <f t="shared" ca="1" si="8"/>
        <v>14.247113370626842</v>
      </c>
      <c r="E13" s="360">
        <f t="shared" ca="1" si="9"/>
        <v>80.803910414821502</v>
      </c>
      <c r="F13" s="357">
        <f t="shared" ca="1" si="10"/>
        <v>82.050302727790054</v>
      </c>
      <c r="G13" s="359">
        <f t="shared" ca="1" si="11"/>
        <v>0.88917192161197955</v>
      </c>
      <c r="H13" s="360">
        <f t="shared" ca="1" si="12"/>
        <v>5.0430347171268481</v>
      </c>
      <c r="I13" s="357">
        <f t="shared" ca="1" si="13"/>
        <v>5.1208227722046589</v>
      </c>
      <c r="J13" s="359">
        <f t="shared" ca="1" si="14"/>
        <v>2.8892631188099566E-2</v>
      </c>
      <c r="K13" s="360">
        <f t="shared" ca="1" si="15"/>
        <v>0.16386796803219167</v>
      </c>
      <c r="L13" s="357">
        <f t="shared" ca="1" si="0"/>
        <v>0.1663955981508253</v>
      </c>
      <c r="M13" s="359">
        <f t="shared" ca="1" si="16"/>
        <v>1.3962634015954636</v>
      </c>
      <c r="N13" s="357">
        <f t="shared" ca="1" si="17"/>
        <v>80</v>
      </c>
      <c r="O13" s="343"/>
      <c r="P13" s="363">
        <f t="shared" ca="1" si="18"/>
        <v>2</v>
      </c>
      <c r="Q13" s="357">
        <f t="shared" ca="1" si="19"/>
        <v>885.61111111111109</v>
      </c>
      <c r="R13" s="359">
        <f t="shared" ca="1" si="20"/>
        <v>0.44444695452118799</v>
      </c>
      <c r="S13" s="360">
        <f t="shared" ca="1" si="21"/>
        <v>9.655954676380933</v>
      </c>
      <c r="T13" s="357">
        <f t="shared" ca="1" si="1"/>
        <v>94.724915375296959</v>
      </c>
      <c r="U13" s="364">
        <f t="shared" ca="1" si="2"/>
        <v>16.448808934574515</v>
      </c>
      <c r="V13" s="359">
        <f t="shared" ca="1" si="3"/>
        <v>1.2249799263383876</v>
      </c>
      <c r="W13" s="357">
        <f t="shared" ca="1" si="4"/>
        <v>7.2708984801384935E-2</v>
      </c>
      <c r="X13" s="343"/>
      <c r="Y13" s="367" t="str">
        <f t="shared" ca="1" si="22"/>
        <v/>
      </c>
      <c r="Z13" s="368" t="str">
        <f t="shared" ca="1" si="23"/>
        <v/>
      </c>
      <c r="AA13" s="369" t="str">
        <f t="shared" ca="1" si="24"/>
        <v/>
      </c>
      <c r="AB13" s="344"/>
      <c r="AC13" s="363" t="e">
        <f t="shared" ca="1" si="25"/>
        <v>#N/A</v>
      </c>
      <c r="AD13" s="376" t="e">
        <f t="shared" ca="1" si="26"/>
        <v>#N/A</v>
      </c>
      <c r="AE13" s="377">
        <f t="shared" ca="1" si="5"/>
        <v>0.16386796803219167</v>
      </c>
      <c r="AF13" s="344"/>
      <c r="AG13" s="359">
        <f t="shared" ca="1" si="27"/>
        <v>82.050302724043632</v>
      </c>
      <c r="AH13" s="357">
        <f t="shared" ca="1" si="28"/>
        <v>91.7112667810934</v>
      </c>
    </row>
    <row r="14" spans="1:248" x14ac:dyDescent="0.25">
      <c r="A14" s="402">
        <f t="shared" ca="1" si="6"/>
        <v>0.01</v>
      </c>
      <c r="B14" s="357">
        <f t="shared" ca="1" si="7"/>
        <v>9.9999999999999992E-2</v>
      </c>
      <c r="C14" s="342"/>
      <c r="D14" s="359">
        <f t="shared" ca="1" si="8"/>
        <v>14.216062674583435</v>
      </c>
      <c r="E14" s="360">
        <f t="shared" ca="1" si="9"/>
        <v>80.627804472561934</v>
      </c>
      <c r="F14" s="357">
        <f t="shared" ca="1" si="10"/>
        <v>81.87148033371183</v>
      </c>
      <c r="G14" s="359">
        <f t="shared" ca="1" si="11"/>
        <v>1.031332548357814</v>
      </c>
      <c r="H14" s="360">
        <f t="shared" ca="1" si="12"/>
        <v>5.8493127618524676</v>
      </c>
      <c r="I14" s="357">
        <f t="shared" ca="1" si="13"/>
        <v>5.9395375755417499</v>
      </c>
      <c r="J14" s="359">
        <f t="shared" ca="1" si="14"/>
        <v>3.8495153537948537E-2</v>
      </c>
      <c r="K14" s="360">
        <f t="shared" ca="1" si="15"/>
        <v>0.21832970542708824</v>
      </c>
      <c r="L14" s="357">
        <f t="shared" ca="1" si="0"/>
        <v>0.2216973998895552</v>
      </c>
      <c r="M14" s="359">
        <f t="shared" ca="1" si="16"/>
        <v>1.3962634015954636</v>
      </c>
      <c r="N14" s="357">
        <f t="shared" ca="1" si="17"/>
        <v>80</v>
      </c>
      <c r="O14" s="343"/>
      <c r="P14" s="363">
        <f t="shared" ca="1" si="18"/>
        <v>2</v>
      </c>
      <c r="Q14" s="357">
        <f t="shared" ca="1" si="19"/>
        <v>883.5</v>
      </c>
      <c r="R14" s="359">
        <f t="shared" ca="1" si="20"/>
        <v>0.44338748621482044</v>
      </c>
      <c r="S14" s="360">
        <f t="shared" ca="1" si="21"/>
        <v>9.6515208015187852</v>
      </c>
      <c r="T14" s="357">
        <f t="shared" ca="1" si="1"/>
        <v>94.681419062899295</v>
      </c>
      <c r="U14" s="364">
        <f t="shared" ca="1" si="2"/>
        <v>16.441255879191427</v>
      </c>
      <c r="V14" s="359">
        <f t="shared" ca="1" si="3"/>
        <v>1.2249732549030479</v>
      </c>
      <c r="W14" s="357">
        <f t="shared" ca="1" si="4"/>
        <v>9.7816358965332639E-2</v>
      </c>
      <c r="X14" s="343"/>
      <c r="Y14" s="367" t="str">
        <f t="shared" ca="1" si="22"/>
        <v/>
      </c>
      <c r="Z14" s="368" t="str">
        <f t="shared" ca="1" si="23"/>
        <v/>
      </c>
      <c r="AA14" s="369" t="str">
        <f t="shared" ca="1" si="24"/>
        <v/>
      </c>
      <c r="AB14" s="344"/>
      <c r="AC14" s="363" t="e">
        <f t="shared" ca="1" si="25"/>
        <v>#N/A</v>
      </c>
      <c r="AD14" s="376" t="e">
        <f t="shared" ca="1" si="26"/>
        <v>#N/A</v>
      </c>
      <c r="AE14" s="377">
        <f t="shared" ca="1" si="5"/>
        <v>0.21832970542708824</v>
      </c>
      <c r="AF14" s="344"/>
      <c r="AG14" s="359">
        <f t="shared" ca="1" si="27"/>
        <v>81.871480329971661</v>
      </c>
      <c r="AH14" s="357">
        <f t="shared" ca="1" si="28"/>
        <v>91.532444387021428</v>
      </c>
    </row>
    <row r="15" spans="1:248" x14ac:dyDescent="0.25">
      <c r="A15" s="402">
        <f t="shared" ca="1" si="6"/>
        <v>0.01</v>
      </c>
      <c r="B15" s="357">
        <f t="shared" ca="1" si="7"/>
        <v>0.10999999999999999</v>
      </c>
      <c r="C15" s="342"/>
      <c r="D15" s="359">
        <f t="shared" ca="1" si="8"/>
        <v>14.184899880732941</v>
      </c>
      <c r="E15" s="360">
        <f t="shared" ca="1" si="9"/>
        <v>80.451062779115276</v>
      </c>
      <c r="F15" s="357">
        <f t="shared" ca="1" si="10"/>
        <v>81.692012381355653</v>
      </c>
      <c r="G15" s="359">
        <f t="shared" ca="1" si="11"/>
        <v>1.1731815471651434</v>
      </c>
      <c r="H15" s="360">
        <f t="shared" ca="1" si="12"/>
        <v>6.6538233896436205</v>
      </c>
      <c r="I15" s="357">
        <f t="shared" ca="1" si="13"/>
        <v>6.7564576993552858</v>
      </c>
      <c r="J15" s="359">
        <f t="shared" ca="1" si="14"/>
        <v>4.9517724015563327E-2</v>
      </c>
      <c r="K15" s="360">
        <f t="shared" ca="1" si="15"/>
        <v>0.28084538618456867</v>
      </c>
      <c r="L15" s="357">
        <f t="shared" ca="1" si="0"/>
        <v>0.28517737626403855</v>
      </c>
      <c r="M15" s="359">
        <f t="shared" ca="1" si="16"/>
        <v>1.3962634015954636</v>
      </c>
      <c r="N15" s="357">
        <f t="shared" ca="1" si="17"/>
        <v>80</v>
      </c>
      <c r="O15" s="343"/>
      <c r="P15" s="363">
        <f t="shared" ca="1" si="18"/>
        <v>2</v>
      </c>
      <c r="Q15" s="357">
        <f t="shared" ca="1" si="19"/>
        <v>881.38888888888891</v>
      </c>
      <c r="R15" s="359">
        <f t="shared" ca="1" si="20"/>
        <v>0.44232801790845289</v>
      </c>
      <c r="S15" s="360">
        <f t="shared" ca="1" si="21"/>
        <v>9.6470975213397008</v>
      </c>
      <c r="T15" s="357">
        <f t="shared" ca="1" si="1"/>
        <v>94.638026684342464</v>
      </c>
      <c r="U15" s="364">
        <f t="shared" ca="1" si="2"/>
        <v>16.433720871730401</v>
      </c>
      <c r="V15" s="359">
        <f t="shared" ca="1" si="3"/>
        <v>1.2249655969232898</v>
      </c>
      <c r="W15" s="357">
        <f t="shared" ca="1" si="4"/>
        <v>0.12657316321788134</v>
      </c>
      <c r="X15" s="343"/>
      <c r="Y15" s="367" t="str">
        <f t="shared" ca="1" si="22"/>
        <v/>
      </c>
      <c r="Z15" s="368" t="str">
        <f t="shared" ca="1" si="23"/>
        <v/>
      </c>
      <c r="AA15" s="369" t="str">
        <f t="shared" ca="1" si="24"/>
        <v/>
      </c>
      <c r="AB15" s="344"/>
      <c r="AC15" s="363" t="e">
        <f t="shared" ca="1" si="25"/>
        <v>#N/A</v>
      </c>
      <c r="AD15" s="376" t="e">
        <f t="shared" ca="1" si="26"/>
        <v>#N/A</v>
      </c>
      <c r="AE15" s="377">
        <f t="shared" ca="1" si="5"/>
        <v>0.28084538618456867</v>
      </c>
      <c r="AF15" s="344"/>
      <c r="AG15" s="359">
        <f t="shared" ca="1" si="27"/>
        <v>81.692012377621751</v>
      </c>
      <c r="AH15" s="357">
        <f t="shared" ca="1" si="28"/>
        <v>91.352976434671504</v>
      </c>
    </row>
    <row r="16" spans="1:248" x14ac:dyDescent="0.25">
      <c r="A16" s="402">
        <f t="shared" ca="1" si="6"/>
        <v>0.01</v>
      </c>
      <c r="B16" s="357">
        <f t="shared" ca="1" si="7"/>
        <v>0.11999999999999998</v>
      </c>
      <c r="C16" s="342"/>
      <c r="D16" s="359">
        <f t="shared" ca="1" si="8"/>
        <v>14.153625382670224</v>
      </c>
      <c r="E16" s="360">
        <f t="shared" ca="1" si="9"/>
        <v>80.273687566679854</v>
      </c>
      <c r="F16" s="357">
        <f t="shared" ca="1" si="10"/>
        <v>81.511901137354769</v>
      </c>
      <c r="G16" s="359">
        <f t="shared" ca="1" si="11"/>
        <v>1.3147178009918457</v>
      </c>
      <c r="H16" s="360">
        <f t="shared" ca="1" si="12"/>
        <v>7.4565602653104186</v>
      </c>
      <c r="I16" s="357">
        <f t="shared" ca="1" si="13"/>
        <v>7.5715767107288174</v>
      </c>
      <c r="J16" s="359">
        <f t="shared" ca="1" si="14"/>
        <v>6.1957220756348269E-2</v>
      </c>
      <c r="K16" s="360">
        <f t="shared" ca="1" si="15"/>
        <v>0.35139730445933887</v>
      </c>
      <c r="L16" s="357">
        <f t="shared" ca="1" si="0"/>
        <v>0.35681754831445744</v>
      </c>
      <c r="M16" s="359">
        <f t="shared" ca="1" si="16"/>
        <v>1.3962634015954636</v>
      </c>
      <c r="N16" s="357">
        <f t="shared" ca="1" si="17"/>
        <v>80</v>
      </c>
      <c r="O16" s="343"/>
      <c r="P16" s="363">
        <f t="shared" ca="1" si="18"/>
        <v>2</v>
      </c>
      <c r="Q16" s="357">
        <f t="shared" ca="1" si="19"/>
        <v>879.27777777777783</v>
      </c>
      <c r="R16" s="359">
        <f t="shared" ca="1" si="20"/>
        <v>0.44126854960208534</v>
      </c>
      <c r="S16" s="360">
        <f t="shared" ca="1" si="21"/>
        <v>9.6426848358436796</v>
      </c>
      <c r="T16" s="357">
        <f t="shared" ca="1" si="1"/>
        <v>94.594738239626508</v>
      </c>
      <c r="U16" s="364">
        <f t="shared" ca="1" si="2"/>
        <v>16.42620391219144</v>
      </c>
      <c r="V16" s="359">
        <f t="shared" ca="1" si="3"/>
        <v>1.2249569545865056</v>
      </c>
      <c r="W16" s="357">
        <f t="shared" ca="1" si="4"/>
        <v>0.15895459945160656</v>
      </c>
      <c r="X16" s="343"/>
      <c r="Y16" s="367" t="str">
        <f t="shared" ca="1" si="22"/>
        <v/>
      </c>
      <c r="Z16" s="368" t="str">
        <f t="shared" ca="1" si="23"/>
        <v/>
      </c>
      <c r="AA16" s="369" t="str">
        <f t="shared" ca="1" si="24"/>
        <v/>
      </c>
      <c r="AB16" s="344"/>
      <c r="AC16" s="363" t="e">
        <f t="shared" ca="1" si="25"/>
        <v>#N/A</v>
      </c>
      <c r="AD16" s="376" t="e">
        <f t="shared" ca="1" si="26"/>
        <v>#N/A</v>
      </c>
      <c r="AE16" s="377">
        <f t="shared" ca="1" si="5"/>
        <v>0.35139730445933887</v>
      </c>
      <c r="AF16" s="344"/>
      <c r="AG16" s="359">
        <f t="shared" ca="1" si="27"/>
        <v>81.511901133627106</v>
      </c>
      <c r="AH16" s="357">
        <f t="shared" ca="1" si="28"/>
        <v>91.172865190676873</v>
      </c>
    </row>
    <row r="17" spans="1:34" x14ac:dyDescent="0.25">
      <c r="A17" s="402">
        <f t="shared" ca="1" si="6"/>
        <v>0.01</v>
      </c>
      <c r="B17" s="357">
        <f t="shared" ca="1" si="7"/>
        <v>0.12999999999999998</v>
      </c>
      <c r="C17" s="342"/>
      <c r="D17" s="359">
        <f t="shared" ca="1" si="8"/>
        <v>14.122239576879776</v>
      </c>
      <c r="E17" s="360">
        <f t="shared" ca="1" si="9"/>
        <v>80.095681083841953</v>
      </c>
      <c r="F17" s="357">
        <f t="shared" ca="1" si="10"/>
        <v>81.331148884983222</v>
      </c>
      <c r="G17" s="359">
        <f t="shared" ca="1" si="11"/>
        <v>1.4559401967606433</v>
      </c>
      <c r="H17" s="360">
        <f t="shared" ca="1" si="12"/>
        <v>8.2575170761488383</v>
      </c>
      <c r="I17" s="357">
        <f t="shared" ca="1" si="13"/>
        <v>8.3848881995786364</v>
      </c>
      <c r="J17" s="359">
        <f t="shared" ca="1" si="14"/>
        <v>7.5810510745110721E-2</v>
      </c>
      <c r="K17" s="360">
        <f t="shared" ca="1" si="15"/>
        <v>0.42996769116663514</v>
      </c>
      <c r="L17" s="357">
        <f t="shared" ca="1" si="0"/>
        <v>0.43659987286599322</v>
      </c>
      <c r="M17" s="359">
        <f t="shared" ca="1" si="16"/>
        <v>1.3962634015954636</v>
      </c>
      <c r="N17" s="357">
        <f t="shared" ca="1" si="17"/>
        <v>80</v>
      </c>
      <c r="O17" s="343"/>
      <c r="P17" s="363">
        <f t="shared" ca="1" si="18"/>
        <v>2</v>
      </c>
      <c r="Q17" s="357">
        <f t="shared" ca="1" si="19"/>
        <v>877.16666666666663</v>
      </c>
      <c r="R17" s="359">
        <f t="shared" ca="1" si="20"/>
        <v>0.44020908129571773</v>
      </c>
      <c r="S17" s="360">
        <f t="shared" ca="1" si="21"/>
        <v>9.6382827450307218</v>
      </c>
      <c r="T17" s="357">
        <f t="shared" ca="1" si="1"/>
        <v>94.551553728751387</v>
      </c>
      <c r="U17" s="364">
        <f t="shared" ca="1" si="2"/>
        <v>16.418705000574537</v>
      </c>
      <c r="V17" s="359">
        <f t="shared" ca="1" si="3"/>
        <v>1.2249473300901503</v>
      </c>
      <c r="W17" s="357">
        <f t="shared" ca="1" si="4"/>
        <v>0.1949357915476034</v>
      </c>
      <c r="X17" s="343"/>
      <c r="Y17" s="367" t="str">
        <f t="shared" ca="1" si="22"/>
        <v/>
      </c>
      <c r="Z17" s="368" t="str">
        <f t="shared" ca="1" si="23"/>
        <v/>
      </c>
      <c r="AA17" s="369" t="str">
        <f t="shared" ca="1" si="24"/>
        <v/>
      </c>
      <c r="AB17" s="344"/>
      <c r="AC17" s="363" t="e">
        <f t="shared" ca="1" si="25"/>
        <v>#N/A</v>
      </c>
      <c r="AD17" s="376" t="e">
        <f t="shared" ca="1" si="26"/>
        <v>#N/A</v>
      </c>
      <c r="AE17" s="377">
        <f t="shared" ca="1" si="5"/>
        <v>0.42996769116663514</v>
      </c>
      <c r="AF17" s="344"/>
      <c r="AG17" s="359">
        <f t="shared" ca="1" si="27"/>
        <v>81.331148881261811</v>
      </c>
      <c r="AH17" s="357">
        <f t="shared" ca="1" si="28"/>
        <v>90.992112938311564</v>
      </c>
    </row>
    <row r="18" spans="1:34" x14ac:dyDescent="0.25">
      <c r="A18" s="402">
        <f t="shared" ca="1" si="6"/>
        <v>0.01</v>
      </c>
      <c r="B18" s="357">
        <f t="shared" ca="1" si="7"/>
        <v>0.13999999999999999</v>
      </c>
      <c r="C18" s="342"/>
      <c r="D18" s="359">
        <f t="shared" ca="1" si="8"/>
        <v>14.090742862712233</v>
      </c>
      <c r="E18" s="360">
        <f t="shared" ca="1" si="9"/>
        <v>79.917045595442701</v>
      </c>
      <c r="F18" s="357">
        <f t="shared" ca="1" si="10"/>
        <v>81.149757924020591</v>
      </c>
      <c r="G18" s="359">
        <f t="shared" ca="1" si="11"/>
        <v>1.5968476253877657</v>
      </c>
      <c r="H18" s="360">
        <f t="shared" ca="1" si="12"/>
        <v>9.0566875321032647</v>
      </c>
      <c r="I18" s="357">
        <f t="shared" ca="1" si="13"/>
        <v>9.1963857788188328</v>
      </c>
      <c r="J18" s="359">
        <f t="shared" ca="1" si="14"/>
        <v>9.1074449855852765E-2</v>
      </c>
      <c r="K18" s="360">
        <f t="shared" ca="1" si="15"/>
        <v>0.51653871420789566</v>
      </c>
      <c r="L18" s="357">
        <f t="shared" ca="1" si="0"/>
        <v>0.5245062427579793</v>
      </c>
      <c r="M18" s="359">
        <f t="shared" ca="1" si="16"/>
        <v>1.3962634015954636</v>
      </c>
      <c r="N18" s="357">
        <f t="shared" ca="1" si="17"/>
        <v>80</v>
      </c>
      <c r="O18" s="343"/>
      <c r="P18" s="363">
        <f t="shared" ca="1" si="18"/>
        <v>2</v>
      </c>
      <c r="Q18" s="357">
        <f t="shared" ca="1" si="19"/>
        <v>875.05555555555554</v>
      </c>
      <c r="R18" s="359">
        <f t="shared" ca="1" si="20"/>
        <v>0.43914961298935024</v>
      </c>
      <c r="S18" s="360">
        <f t="shared" ca="1" si="21"/>
        <v>9.633891248900829</v>
      </c>
      <c r="T18" s="357">
        <f t="shared" ca="1" si="1"/>
        <v>94.508473151717141</v>
      </c>
      <c r="U18" s="364">
        <f t="shared" ca="1" si="2"/>
        <v>16.411224136879699</v>
      </c>
      <c r="V18" s="359">
        <f t="shared" ca="1" si="3"/>
        <v>1.2249367256416925</v>
      </c>
      <c r="W18" s="357">
        <f t="shared" ca="1" si="4"/>
        <v>0.23449178680801794</v>
      </c>
      <c r="X18" s="343"/>
      <c r="Y18" s="367" t="str">
        <f t="shared" ca="1" si="22"/>
        <v/>
      </c>
      <c r="Z18" s="368" t="str">
        <f t="shared" ca="1" si="23"/>
        <v/>
      </c>
      <c r="AA18" s="369" t="str">
        <f t="shared" ca="1" si="24"/>
        <v/>
      </c>
      <c r="AB18" s="344"/>
      <c r="AC18" s="363" t="e">
        <f t="shared" ca="1" si="25"/>
        <v>#N/A</v>
      </c>
      <c r="AD18" s="376" t="e">
        <f t="shared" ca="1" si="26"/>
        <v>#N/A</v>
      </c>
      <c r="AE18" s="377">
        <f t="shared" ca="1" si="5"/>
        <v>0.51653871420789566</v>
      </c>
      <c r="AF18" s="344"/>
      <c r="AG18" s="359">
        <f t="shared" ca="1" si="27"/>
        <v>81.14975792030539</v>
      </c>
      <c r="AH18" s="357">
        <f t="shared" ca="1" si="28"/>
        <v>90.810721977355158</v>
      </c>
    </row>
    <row r="19" spans="1:34" x14ac:dyDescent="0.25">
      <c r="A19" s="402">
        <f t="shared" ca="1" si="6"/>
        <v>0.01</v>
      </c>
      <c r="B19" s="357">
        <f t="shared" ca="1" si="7"/>
        <v>0.15</v>
      </c>
      <c r="C19" s="342"/>
      <c r="D19" s="359">
        <f t="shared" ca="1" si="8"/>
        <v>14.059135642360678</v>
      </c>
      <c r="E19" s="360">
        <f t="shared" ca="1" si="9"/>
        <v>79.73778338244361</v>
      </c>
      <c r="F19" s="357">
        <f t="shared" ca="1" si="10"/>
        <v>80.967730570615586</v>
      </c>
      <c r="G19" s="359">
        <f t="shared" ca="1" si="11"/>
        <v>1.7374389818113725</v>
      </c>
      <c r="H19" s="360">
        <f t="shared" ca="1" si="12"/>
        <v>9.8540653659277009</v>
      </c>
      <c r="I19" s="357">
        <f t="shared" ca="1" si="13"/>
        <v>10.00606308452498</v>
      </c>
      <c r="J19" s="359">
        <f t="shared" ca="1" si="14"/>
        <v>0.10774588289184846</v>
      </c>
      <c r="K19" s="360">
        <f t="shared" ca="1" si="15"/>
        <v>0.6110924786980505</v>
      </c>
      <c r="L19" s="357">
        <f t="shared" ca="1" si="0"/>
        <v>0.62051848707469726</v>
      </c>
      <c r="M19" s="359">
        <f t="shared" ca="1" si="16"/>
        <v>1.3962634015954636</v>
      </c>
      <c r="N19" s="357">
        <f t="shared" ca="1" si="17"/>
        <v>80</v>
      </c>
      <c r="O19" s="343"/>
      <c r="P19" s="363">
        <f t="shared" ca="1" si="18"/>
        <v>2</v>
      </c>
      <c r="Q19" s="357">
        <f t="shared" ca="1" si="19"/>
        <v>872.94444444444446</v>
      </c>
      <c r="R19" s="359">
        <f t="shared" ca="1" si="20"/>
        <v>0.43809014468298269</v>
      </c>
      <c r="S19" s="360">
        <f t="shared" ca="1" si="21"/>
        <v>9.6295103474539996</v>
      </c>
      <c r="T19" s="357">
        <f t="shared" ca="1" si="1"/>
        <v>94.465496508523742</v>
      </c>
      <c r="U19" s="364">
        <f t="shared" ca="1" si="2"/>
        <v>16.403761321106927</v>
      </c>
      <c r="V19" s="359">
        <f t="shared" ca="1" si="3"/>
        <v>1.2249251434585728</v>
      </c>
      <c r="W19" s="357">
        <f t="shared" ca="1" si="4"/>
        <v>0.27759755739200409</v>
      </c>
      <c r="X19" s="343"/>
      <c r="Y19" s="367" t="str">
        <f t="shared" ca="1" si="22"/>
        <v/>
      </c>
      <c r="Z19" s="368" t="str">
        <f t="shared" ca="1" si="23"/>
        <v/>
      </c>
      <c r="AA19" s="369" t="str">
        <f t="shared" ca="1" si="24"/>
        <v/>
      </c>
      <c r="AB19" s="344"/>
      <c r="AC19" s="363" t="e">
        <f t="shared" ca="1" si="25"/>
        <v>#N/A</v>
      </c>
      <c r="AD19" s="376" t="e">
        <f t="shared" ca="1" si="26"/>
        <v>#N/A</v>
      </c>
      <c r="AE19" s="377">
        <f t="shared" ca="1" si="5"/>
        <v>0.6110924786980505</v>
      </c>
      <c r="AF19" s="344"/>
      <c r="AG19" s="359">
        <f t="shared" ca="1" si="27"/>
        <v>80.967730566906596</v>
      </c>
      <c r="AH19" s="357">
        <f t="shared" ca="1" si="28"/>
        <v>90.628694623956363</v>
      </c>
    </row>
    <row r="20" spans="1:34" x14ac:dyDescent="0.25">
      <c r="A20" s="402">
        <f t="shared" ca="1" si="6"/>
        <v>0.01</v>
      </c>
      <c r="B20" s="357">
        <f t="shared" ca="1" si="7"/>
        <v>0.16</v>
      </c>
      <c r="C20" s="342"/>
      <c r="D20" s="359">
        <f t="shared" ca="1" si="8"/>
        <v>14.027418320836805</v>
      </c>
      <c r="E20" s="360">
        <f t="shared" ca="1" si="9"/>
        <v>79.557896741791509</v>
      </c>
      <c r="F20" s="357">
        <f t="shared" ca="1" si="10"/>
        <v>80.785069157148769</v>
      </c>
      <c r="G20" s="359">
        <f t="shared" ca="1" si="11"/>
        <v>1.8777131650197405</v>
      </c>
      <c r="H20" s="360">
        <f t="shared" ca="1" si="12"/>
        <v>10.649644333345616</v>
      </c>
      <c r="I20" s="357">
        <f t="shared" ca="1" si="13"/>
        <v>10.813913776096461</v>
      </c>
      <c r="J20" s="359">
        <f t="shared" ca="1" si="14"/>
        <v>0.12582164362600401</v>
      </c>
      <c r="K20" s="360">
        <f t="shared" ca="1" si="15"/>
        <v>0.71361102719441705</v>
      </c>
      <c r="L20" s="357">
        <f t="shared" ca="1" si="0"/>
        <v>0.72461837137780338</v>
      </c>
      <c r="M20" s="359">
        <f t="shared" ca="1" si="16"/>
        <v>1.3962634015954636</v>
      </c>
      <c r="N20" s="357">
        <f t="shared" ca="1" si="17"/>
        <v>80</v>
      </c>
      <c r="O20" s="343"/>
      <c r="P20" s="363">
        <f t="shared" ca="1" si="18"/>
        <v>2</v>
      </c>
      <c r="Q20" s="357">
        <f t="shared" ca="1" si="19"/>
        <v>870.83333333333337</v>
      </c>
      <c r="R20" s="359">
        <f t="shared" ca="1" si="20"/>
        <v>0.43703067637661513</v>
      </c>
      <c r="S20" s="360">
        <f t="shared" ca="1" si="21"/>
        <v>9.6251400406902334</v>
      </c>
      <c r="T20" s="357">
        <f t="shared" ca="1" si="1"/>
        <v>94.422623799171191</v>
      </c>
      <c r="U20" s="364">
        <f t="shared" ca="1" si="2"/>
        <v>16.396316553256209</v>
      </c>
      <c r="V20" s="359">
        <f t="shared" ca="1" si="3"/>
        <v>1.2249125857681569</v>
      </c>
      <c r="W20" s="357">
        <f t="shared" ca="1" si="4"/>
        <v>0.3242280017549648</v>
      </c>
      <c r="X20" s="343"/>
      <c r="Y20" s="367" t="str">
        <f t="shared" ca="1" si="22"/>
        <v/>
      </c>
      <c r="Z20" s="368" t="str">
        <f t="shared" ca="1" si="23"/>
        <v/>
      </c>
      <c r="AA20" s="369" t="str">
        <f t="shared" ca="1" si="24"/>
        <v/>
      </c>
      <c r="AB20" s="344"/>
      <c r="AC20" s="363" t="e">
        <f t="shared" ca="1" si="25"/>
        <v>#N/A</v>
      </c>
      <c r="AD20" s="376" t="e">
        <f t="shared" ca="1" si="26"/>
        <v>#N/A</v>
      </c>
      <c r="AE20" s="377">
        <f t="shared" ca="1" si="5"/>
        <v>0.71361102719441705</v>
      </c>
      <c r="AF20" s="344"/>
      <c r="AG20" s="359">
        <f t="shared" ca="1" si="27"/>
        <v>80.785069153445988</v>
      </c>
      <c r="AH20" s="357">
        <f t="shared" ca="1" si="28"/>
        <v>90.446033210495756</v>
      </c>
    </row>
    <row r="21" spans="1:34" x14ac:dyDescent="0.25">
      <c r="A21" s="402">
        <f t="shared" ca="1" si="6"/>
        <v>0.01</v>
      </c>
      <c r="B21" s="357">
        <f t="shared" ca="1" si="7"/>
        <v>0.17</v>
      </c>
      <c r="C21" s="342"/>
      <c r="D21" s="359">
        <f t="shared" ca="1" si="8"/>
        <v>13.995591305946908</v>
      </c>
      <c r="E21" s="360">
        <f t="shared" ca="1" si="9"/>
        <v>79.377387986282201</v>
      </c>
      <c r="F21" s="357">
        <f t="shared" ca="1" si="10"/>
        <v>80.601776032094193</v>
      </c>
      <c r="G21" s="359">
        <f t="shared" ca="1" si="11"/>
        <v>2.0176690780792095</v>
      </c>
      <c r="H21" s="360">
        <f t="shared" ca="1" si="12"/>
        <v>11.443418213208439</v>
      </c>
      <c r="I21" s="357">
        <f t="shared" ca="1" si="13"/>
        <v>11.619931536417399</v>
      </c>
      <c r="J21" s="359">
        <f t="shared" ca="1" si="14"/>
        <v>0.14529855484149876</v>
      </c>
      <c r="K21" s="360">
        <f t="shared" ca="1" si="15"/>
        <v>0.82407633992718732</v>
      </c>
      <c r="L21" s="357">
        <f t="shared" ca="1" si="0"/>
        <v>0.83678759794037172</v>
      </c>
      <c r="M21" s="359">
        <f t="shared" ca="1" si="16"/>
        <v>1.3962634015954636</v>
      </c>
      <c r="N21" s="357">
        <f t="shared" ca="1" si="17"/>
        <v>80</v>
      </c>
      <c r="O21" s="343"/>
      <c r="P21" s="363">
        <f t="shared" ca="1" si="18"/>
        <v>2</v>
      </c>
      <c r="Q21" s="357">
        <f t="shared" ca="1" si="19"/>
        <v>868.72222222222217</v>
      </c>
      <c r="R21" s="359">
        <f t="shared" ca="1" si="20"/>
        <v>0.43597120807024753</v>
      </c>
      <c r="S21" s="360">
        <f t="shared" ca="1" si="21"/>
        <v>9.6207803286095306</v>
      </c>
      <c r="T21" s="357">
        <f t="shared" ca="1" si="1"/>
        <v>94.379855023659502</v>
      </c>
      <c r="U21" s="364">
        <f t="shared" ca="1" si="2"/>
        <v>16.388889833327561</v>
      </c>
      <c r="V21" s="359">
        <f t="shared" ca="1" si="3"/>
        <v>1.2248990548076863</v>
      </c>
      <c r="W21" s="357">
        <f t="shared" ca="1" si="4"/>
        <v>0.3743579460909357</v>
      </c>
      <c r="X21" s="343"/>
      <c r="Y21" s="367" t="str">
        <f t="shared" ca="1" si="22"/>
        <v/>
      </c>
      <c r="Z21" s="368" t="str">
        <f t="shared" ca="1" si="23"/>
        <v/>
      </c>
      <c r="AA21" s="369" t="str">
        <f t="shared" ca="1" si="24"/>
        <v/>
      </c>
      <c r="AB21" s="344"/>
      <c r="AC21" s="363" t="e">
        <f t="shared" ca="1" si="25"/>
        <v>#N/A</v>
      </c>
      <c r="AD21" s="376" t="e">
        <f t="shared" ca="1" si="26"/>
        <v>#N/A</v>
      </c>
      <c r="AE21" s="377">
        <f t="shared" ca="1" si="5"/>
        <v>0.82407633992718732</v>
      </c>
      <c r="AF21" s="344"/>
      <c r="AG21" s="359">
        <f t="shared" ca="1" si="27"/>
        <v>80.601776028397637</v>
      </c>
      <c r="AH21" s="357">
        <f t="shared" ca="1" si="28"/>
        <v>90.26274008544739</v>
      </c>
    </row>
    <row r="22" spans="1:34" x14ac:dyDescent="0.25">
      <c r="A22" s="402">
        <f t="shared" ca="1" si="6"/>
        <v>0.01</v>
      </c>
      <c r="B22" s="357">
        <f t="shared" ca="1" si="7"/>
        <v>0.18000000000000002</v>
      </c>
      <c r="C22" s="342"/>
      <c r="D22" s="359">
        <f t="shared" ca="1" si="8"/>
        <v>13.963655008267665</v>
      </c>
      <c r="E22" s="360">
        <f t="shared" ca="1" si="9"/>
        <v>79.196259444423319</v>
      </c>
      <c r="F22" s="357">
        <f t="shared" ca="1" si="10"/>
        <v>80.417853559880157</v>
      </c>
      <c r="G22" s="359">
        <f t="shared" ca="1" si="11"/>
        <v>2.1573056281618861</v>
      </c>
      <c r="H22" s="360">
        <f t="shared" ca="1" si="12"/>
        <v>12.235380807652671</v>
      </c>
      <c r="I22" s="357">
        <f t="shared" ca="1" si="13"/>
        <v>12.424110072016196</v>
      </c>
      <c r="J22" s="359">
        <f t="shared" ca="1" si="14"/>
        <v>0.16617342837270424</v>
      </c>
      <c r="K22" s="360">
        <f t="shared" ca="1" si="15"/>
        <v>0.94247033503149291</v>
      </c>
      <c r="L22" s="357">
        <f t="shared" ca="1" si="0"/>
        <v>0.95700780598253887</v>
      </c>
      <c r="M22" s="359">
        <f t="shared" ca="1" si="16"/>
        <v>1.3962634015954636</v>
      </c>
      <c r="N22" s="357">
        <f t="shared" ca="1" si="17"/>
        <v>80</v>
      </c>
      <c r="O22" s="343"/>
      <c r="P22" s="363">
        <f t="shared" ca="1" si="18"/>
        <v>2</v>
      </c>
      <c r="Q22" s="357">
        <f t="shared" ca="1" si="19"/>
        <v>866.61111111111109</v>
      </c>
      <c r="R22" s="359">
        <f t="shared" ca="1" si="20"/>
        <v>0.43491173976387998</v>
      </c>
      <c r="S22" s="360">
        <f t="shared" ca="1" si="21"/>
        <v>9.616431211211891</v>
      </c>
      <c r="T22" s="357">
        <f t="shared" ca="1" si="1"/>
        <v>94.33719018198866</v>
      </c>
      <c r="U22" s="364">
        <f t="shared" ca="1" si="2"/>
        <v>16.38148116132097</v>
      </c>
      <c r="V22" s="359">
        <f t="shared" ca="1" si="3"/>
        <v>1.2248845528242358</v>
      </c>
      <c r="W22" s="357">
        <f t="shared" ca="1" si="4"/>
        <v>0.42796214577797426</v>
      </c>
      <c r="X22" s="343"/>
      <c r="Y22" s="367" t="str">
        <f t="shared" ca="1" si="22"/>
        <v/>
      </c>
      <c r="Z22" s="368" t="str">
        <f t="shared" ca="1" si="23"/>
        <v/>
      </c>
      <c r="AA22" s="369" t="str">
        <f t="shared" ca="1" si="24"/>
        <v/>
      </c>
      <c r="AB22" s="344"/>
      <c r="AC22" s="363" t="e">
        <f t="shared" ca="1" si="25"/>
        <v>#N/A</v>
      </c>
      <c r="AD22" s="376" t="e">
        <f t="shared" ca="1" si="26"/>
        <v>#N/A</v>
      </c>
      <c r="AE22" s="377">
        <f t="shared" ca="1" si="5"/>
        <v>0.94247033503149291</v>
      </c>
      <c r="AF22" s="344"/>
      <c r="AG22" s="359">
        <f t="shared" ca="1" si="27"/>
        <v>80.417853556189769</v>
      </c>
      <c r="AH22" s="357">
        <f t="shared" ca="1" si="28"/>
        <v>90.078817613239536</v>
      </c>
    </row>
    <row r="23" spans="1:34" x14ac:dyDescent="0.25">
      <c r="A23" s="402">
        <f t="shared" ca="1" si="6"/>
        <v>0.01</v>
      </c>
      <c r="B23" s="357">
        <f t="shared" ca="1" si="7"/>
        <v>0.19000000000000003</v>
      </c>
      <c r="C23" s="342"/>
      <c r="D23" s="359">
        <f t="shared" ca="1" si="8"/>
        <v>13.931609841121816</v>
      </c>
      <c r="E23" s="360">
        <f t="shared" ca="1" si="9"/>
        <v>79.014513460296186</v>
      </c>
      <c r="F23" s="357">
        <f t="shared" ca="1" si="10"/>
        <v>80.233304120748812</v>
      </c>
      <c r="G23" s="359">
        <f t="shared" ca="1" si="11"/>
        <v>2.2966217265731044</v>
      </c>
      <c r="H23" s="360">
        <f t="shared" ca="1" si="12"/>
        <v>13.025525942255634</v>
      </c>
      <c r="I23" s="357">
        <f t="shared" ca="1" si="13"/>
        <v>13.226443113223681</v>
      </c>
      <c r="J23" s="359">
        <f t="shared" ca="1" si="14"/>
        <v>0.18844306514637918</v>
      </c>
      <c r="K23" s="360">
        <f t="shared" ca="1" si="15"/>
        <v>1.0687748687810346</v>
      </c>
      <c r="L23" s="357">
        <f t="shared" ca="1" si="0"/>
        <v>1.0852605719087376</v>
      </c>
      <c r="M23" s="359">
        <f t="shared" ca="1" si="16"/>
        <v>1.3962634015954636</v>
      </c>
      <c r="N23" s="357">
        <f t="shared" ca="1" si="17"/>
        <v>80</v>
      </c>
      <c r="O23" s="343"/>
      <c r="P23" s="363">
        <f t="shared" ca="1" si="18"/>
        <v>2</v>
      </c>
      <c r="Q23" s="357">
        <f t="shared" ca="1" si="19"/>
        <v>864.5</v>
      </c>
      <c r="R23" s="359">
        <f t="shared" ca="1" si="20"/>
        <v>0.43385227145751248</v>
      </c>
      <c r="S23" s="360">
        <f t="shared" ca="1" si="21"/>
        <v>9.6120926884973166</v>
      </c>
      <c r="T23" s="357">
        <f t="shared" ca="1" si="1"/>
        <v>94.29462927415868</v>
      </c>
      <c r="U23" s="364">
        <f t="shared" ca="1" si="2"/>
        <v>16.374090537236444</v>
      </c>
      <c r="V23" s="359">
        <f t="shared" ca="1" si="3"/>
        <v>1.2248690820746637</v>
      </c>
      <c r="W23" s="357">
        <f t="shared" ca="1" si="4"/>
        <v>0.48501528682640899</v>
      </c>
      <c r="X23" s="343"/>
      <c r="Y23" s="367" t="str">
        <f t="shared" ca="1" si="22"/>
        <v/>
      </c>
      <c r="Z23" s="368" t="str">
        <f t="shared" ca="1" si="23"/>
        <v/>
      </c>
      <c r="AA23" s="369" t="str">
        <f t="shared" ca="1" si="24"/>
        <v/>
      </c>
      <c r="AB23" s="344"/>
      <c r="AC23" s="363" t="e">
        <f t="shared" ca="1" si="25"/>
        <v>#N/A</v>
      </c>
      <c r="AD23" s="376" t="e">
        <f t="shared" ca="1" si="26"/>
        <v>#N/A</v>
      </c>
      <c r="AE23" s="377">
        <f t="shared" ca="1" si="5"/>
        <v>1.0687748687810346</v>
      </c>
      <c r="AF23" s="344"/>
      <c r="AG23" s="359">
        <f t="shared" ca="1" si="27"/>
        <v>80.233304117064648</v>
      </c>
      <c r="AH23" s="357">
        <f t="shared" ca="1" si="28"/>
        <v>89.894268174114401</v>
      </c>
    </row>
    <row r="24" spans="1:34" x14ac:dyDescent="0.25">
      <c r="A24" s="402">
        <f t="shared" ca="1" si="6"/>
        <v>0.01</v>
      </c>
      <c r="B24" s="357">
        <f t="shared" ca="1" si="7"/>
        <v>0.20000000000000004</v>
      </c>
      <c r="C24" s="342"/>
      <c r="D24" s="359">
        <f t="shared" ca="1" si="8"/>
        <v>13.899456220553612</v>
      </c>
      <c r="E24" s="360">
        <f t="shared" ca="1" si="9"/>
        <v>78.832152393416834</v>
      </c>
      <c r="F24" s="357">
        <f t="shared" ca="1" si="10"/>
        <v>80.048130110615219</v>
      </c>
      <c r="G24" s="359">
        <f t="shared" ca="1" si="11"/>
        <v>2.4356162887786406</v>
      </c>
      <c r="H24" s="360">
        <f t="shared" ca="1" si="12"/>
        <v>13.813847466189802</v>
      </c>
      <c r="I24" s="357">
        <f t="shared" ca="1" si="13"/>
        <v>14.02692441432983</v>
      </c>
      <c r="J24" s="359">
        <f t="shared" ca="1" si="14"/>
        <v>0.21210425522313792</v>
      </c>
      <c r="K24" s="360">
        <f t="shared" ca="1" si="15"/>
        <v>1.2029717358232617</v>
      </c>
      <c r="L24" s="357">
        <f t="shared" ca="1" si="0"/>
        <v>1.2215274095465043</v>
      </c>
      <c r="M24" s="359">
        <f t="shared" ca="1" si="16"/>
        <v>1.3962634015954636</v>
      </c>
      <c r="N24" s="357">
        <f t="shared" ca="1" si="17"/>
        <v>80</v>
      </c>
      <c r="O24" s="343"/>
      <c r="P24" s="363">
        <f t="shared" ca="1" si="18"/>
        <v>2</v>
      </c>
      <c r="Q24" s="357">
        <f t="shared" ca="1" si="19"/>
        <v>862.38888888888891</v>
      </c>
      <c r="R24" s="359">
        <f t="shared" ca="1" si="20"/>
        <v>0.43279280315114493</v>
      </c>
      <c r="S24" s="360">
        <f t="shared" ca="1" si="21"/>
        <v>9.6077647604658054</v>
      </c>
      <c r="T24" s="357">
        <f t="shared" ca="1" si="1"/>
        <v>94.252172300169562</v>
      </c>
      <c r="U24" s="364">
        <f t="shared" ca="1" si="2"/>
        <v>16.366717961073981</v>
      </c>
      <c r="V24" s="359">
        <f t="shared" ca="1" si="3"/>
        <v>1.2248526448255672</v>
      </c>
      <c r="W24" s="357">
        <f t="shared" ca="1" si="4"/>
        <v>0.54549198732981374</v>
      </c>
      <c r="X24" s="343"/>
      <c r="Y24" s="367" t="str">
        <f t="shared" ca="1" si="22"/>
        <v/>
      </c>
      <c r="Z24" s="368" t="str">
        <f t="shared" ca="1" si="23"/>
        <v/>
      </c>
      <c r="AA24" s="369" t="str">
        <f t="shared" ca="1" si="24"/>
        <v/>
      </c>
      <c r="AB24" s="344"/>
      <c r="AC24" s="363" t="e">
        <f t="shared" ca="1" si="25"/>
        <v>#N/A</v>
      </c>
      <c r="AD24" s="376" t="e">
        <f t="shared" ca="1" si="26"/>
        <v>#N/A</v>
      </c>
      <c r="AE24" s="377">
        <f t="shared" ca="1" si="5"/>
        <v>1.2029717358232617</v>
      </c>
      <c r="AF24" s="344"/>
      <c r="AG24" s="359">
        <f t="shared" ca="1" si="27"/>
        <v>80.048130106937194</v>
      </c>
      <c r="AH24" s="357">
        <f t="shared" ca="1" si="28"/>
        <v>89.709094163986961</v>
      </c>
    </row>
    <row r="25" spans="1:34" x14ac:dyDescent="0.25">
      <c r="A25" s="402">
        <f t="shared" ca="1" si="6"/>
        <v>0.01</v>
      </c>
      <c r="B25" s="357">
        <f t="shared" ca="1" si="7"/>
        <v>0.21000000000000005</v>
      </c>
      <c r="C25" s="342"/>
      <c r="D25" s="359">
        <f t="shared" ca="1" si="8"/>
        <v>13.867194565304167</v>
      </c>
      <c r="E25" s="360">
        <f t="shared" ca="1" si="9"/>
        <v>78.649178618595911</v>
      </c>
      <c r="F25" s="357">
        <f t="shared" ca="1" si="10"/>
        <v>79.862333940924898</v>
      </c>
      <c r="G25" s="359">
        <f t="shared" ca="1" si="11"/>
        <v>2.5742882344316822</v>
      </c>
      <c r="H25" s="360">
        <f t="shared" ca="1" si="12"/>
        <v>14.600339252375761</v>
      </c>
      <c r="I25" s="357">
        <f t="shared" ca="1" si="13"/>
        <v>14.825547753739077</v>
      </c>
      <c r="J25" s="359">
        <f t="shared" ca="1" si="14"/>
        <v>0.23715377783918953</v>
      </c>
      <c r="K25" s="360">
        <f t="shared" ca="1" si="15"/>
        <v>1.3450426694160895</v>
      </c>
      <c r="L25" s="357">
        <f t="shared" ca="1" si="0"/>
        <v>1.3657897703868482</v>
      </c>
      <c r="M25" s="359">
        <f t="shared" ca="1" si="16"/>
        <v>1.3962634015954636</v>
      </c>
      <c r="N25" s="357">
        <f t="shared" ca="1" si="17"/>
        <v>80</v>
      </c>
      <c r="O25" s="343"/>
      <c r="P25" s="363">
        <f t="shared" ca="1" si="18"/>
        <v>2</v>
      </c>
      <c r="Q25" s="357">
        <f t="shared" ca="1" si="19"/>
        <v>860.27777777777783</v>
      </c>
      <c r="R25" s="359">
        <f t="shared" ca="1" si="20"/>
        <v>0.43173333484477738</v>
      </c>
      <c r="S25" s="360">
        <f t="shared" ca="1" si="21"/>
        <v>9.6034474271173575</v>
      </c>
      <c r="T25" s="357">
        <f t="shared" ca="1" si="1"/>
        <v>94.209819260021277</v>
      </c>
      <c r="U25" s="364">
        <f t="shared" ca="1" si="2"/>
        <v>16.359363432833579</v>
      </c>
      <c r="V25" s="359">
        <f t="shared" ca="1" si="3"/>
        <v>1.2248352433532328</v>
      </c>
      <c r="W25" s="357">
        <f t="shared" ca="1" si="4"/>
        <v>0.60936679891855994</v>
      </c>
      <c r="X25" s="343"/>
      <c r="Y25" s="367" t="str">
        <f t="shared" ca="1" si="22"/>
        <v/>
      </c>
      <c r="Z25" s="368" t="str">
        <f t="shared" ca="1" si="23"/>
        <v/>
      </c>
      <c r="AA25" s="369" t="str">
        <f t="shared" ca="1" si="24"/>
        <v/>
      </c>
      <c r="AB25" s="344"/>
      <c r="AC25" s="363" t="e">
        <f t="shared" ca="1" si="25"/>
        <v>#N/A</v>
      </c>
      <c r="AD25" s="376" t="e">
        <f t="shared" ca="1" si="26"/>
        <v>#N/A</v>
      </c>
      <c r="AE25" s="377">
        <f t="shared" ca="1" si="5"/>
        <v>1.3450426694160895</v>
      </c>
      <c r="AF25" s="344"/>
      <c r="AG25" s="359">
        <f t="shared" ca="1" si="27"/>
        <v>79.862333937253084</v>
      </c>
      <c r="AH25" s="357">
        <f t="shared" ca="1" si="28"/>
        <v>89.523297994302837</v>
      </c>
    </row>
    <row r="26" spans="1:34" x14ac:dyDescent="0.25">
      <c r="A26" s="402">
        <f t="shared" ca="1" si="6"/>
        <v>0.01</v>
      </c>
      <c r="B26" s="357">
        <f t="shared" ca="1" si="7"/>
        <v>0.22000000000000006</v>
      </c>
      <c r="C26" s="342"/>
      <c r="D26" s="359">
        <f t="shared" ca="1" si="8"/>
        <v>13.834825296786603</v>
      </c>
      <c r="E26" s="360">
        <f t="shared" ca="1" si="9"/>
        <v>78.465594525797997</v>
      </c>
      <c r="F26" s="357">
        <f t="shared" ca="1" si="10"/>
        <v>79.675918038511156</v>
      </c>
      <c r="G26" s="359">
        <f t="shared" ca="1" si="11"/>
        <v>2.7126364873995481</v>
      </c>
      <c r="H26" s="360">
        <f t="shared" ca="1" si="12"/>
        <v>15.38499519763374</v>
      </c>
      <c r="I26" s="357">
        <f t="shared" ca="1" si="13"/>
        <v>15.622306934124186</v>
      </c>
      <c r="J26" s="359">
        <f t="shared" ca="1" si="14"/>
        <v>0.26358840144834567</v>
      </c>
      <c r="K26" s="360">
        <f t="shared" ca="1" si="15"/>
        <v>1.4949693416661369</v>
      </c>
      <c r="L26" s="357">
        <f t="shared" ca="1" si="0"/>
        <v>1.5180290438261639</v>
      </c>
      <c r="M26" s="359">
        <f t="shared" ca="1" si="16"/>
        <v>1.3962634015954636</v>
      </c>
      <c r="N26" s="357">
        <f t="shared" ca="1" si="17"/>
        <v>80</v>
      </c>
      <c r="O26" s="343"/>
      <c r="P26" s="363">
        <f t="shared" ca="1" si="18"/>
        <v>2</v>
      </c>
      <c r="Q26" s="357">
        <f t="shared" ca="1" si="19"/>
        <v>858.16666666666663</v>
      </c>
      <c r="R26" s="359">
        <f t="shared" ca="1" si="20"/>
        <v>0.43067386653840978</v>
      </c>
      <c r="S26" s="360">
        <f t="shared" ca="1" si="21"/>
        <v>9.599140688451973</v>
      </c>
      <c r="T26" s="357">
        <f t="shared" ca="1" si="1"/>
        <v>94.167570153713854</v>
      </c>
      <c r="U26" s="364">
        <f t="shared" ca="1" si="2"/>
        <v>16.352026952515239</v>
      </c>
      <c r="V26" s="359">
        <f t="shared" ca="1" si="3"/>
        <v>1.2248168799435892</v>
      </c>
      <c r="W26" s="357">
        <f t="shared" ca="1" si="4"/>
        <v>0.67661420821581109</v>
      </c>
      <c r="X26" s="343"/>
      <c r="Y26" s="367" t="str">
        <f t="shared" ca="1" si="22"/>
        <v/>
      </c>
      <c r="Z26" s="368" t="str">
        <f t="shared" ca="1" si="23"/>
        <v/>
      </c>
      <c r="AA26" s="369" t="str">
        <f t="shared" ca="1" si="24"/>
        <v/>
      </c>
      <c r="AB26" s="344"/>
      <c r="AC26" s="363" t="e">
        <f t="shared" ca="1" si="25"/>
        <v>#N/A</v>
      </c>
      <c r="AD26" s="376" t="e">
        <f t="shared" ca="1" si="26"/>
        <v>#N/A</v>
      </c>
      <c r="AE26" s="377">
        <f t="shared" ca="1" si="5"/>
        <v>1.4949693416661369</v>
      </c>
      <c r="AF26" s="344"/>
      <c r="AG26" s="359">
        <f t="shared" ca="1" si="27"/>
        <v>79.675918034845495</v>
      </c>
      <c r="AH26" s="357">
        <f t="shared" ca="1" si="28"/>
        <v>89.336882091895248</v>
      </c>
    </row>
    <row r="27" spans="1:34" x14ac:dyDescent="0.25">
      <c r="A27" s="402">
        <f t="shared" ca="1" si="6"/>
        <v>0.01</v>
      </c>
      <c r="B27" s="357">
        <f t="shared" ca="1" si="7"/>
        <v>0.23000000000000007</v>
      </c>
      <c r="C27" s="342"/>
      <c r="D27" s="359">
        <f t="shared" ca="1" si="8"/>
        <v>13.802348839061066</v>
      </c>
      <c r="E27" s="360">
        <f t="shared" ca="1" si="9"/>
        <v>78.281402519999745</v>
      </c>
      <c r="F27" s="357">
        <f t="shared" ca="1" si="10"/>
        <v>79.488884845450897</v>
      </c>
      <c r="G27" s="359">
        <f t="shared" ca="1" si="11"/>
        <v>2.8506599757901587</v>
      </c>
      <c r="H27" s="360">
        <f t="shared" ca="1" si="12"/>
        <v>16.167809222833739</v>
      </c>
      <c r="I27" s="357">
        <f t="shared" ca="1" si="13"/>
        <v>16.417195782578695</v>
      </c>
      <c r="J27" s="359">
        <f t="shared" ca="1" si="14"/>
        <v>0.29140488376429419</v>
      </c>
      <c r="K27" s="360">
        <f t="shared" ca="1" si="15"/>
        <v>1.6527333637684745</v>
      </c>
      <c r="L27" s="357">
        <f t="shared" ca="1" si="0"/>
        <v>1.6782265574096777</v>
      </c>
      <c r="M27" s="359">
        <f t="shared" ca="1" si="16"/>
        <v>1.3962634015954636</v>
      </c>
      <c r="N27" s="357">
        <f t="shared" ca="1" si="17"/>
        <v>80</v>
      </c>
      <c r="O27" s="343"/>
      <c r="P27" s="363">
        <f t="shared" ca="1" si="18"/>
        <v>2</v>
      </c>
      <c r="Q27" s="357">
        <f t="shared" ca="1" si="19"/>
        <v>856.05555555555554</v>
      </c>
      <c r="R27" s="359">
        <f t="shared" ca="1" si="20"/>
        <v>0.42961439823204223</v>
      </c>
      <c r="S27" s="360">
        <f t="shared" ca="1" si="21"/>
        <v>9.5948445444696517</v>
      </c>
      <c r="T27" s="357">
        <f t="shared" ca="1" si="1"/>
        <v>94.125424981247292</v>
      </c>
      <c r="U27" s="364">
        <f t="shared" ca="1" si="2"/>
        <v>16.34470852011896</v>
      </c>
      <c r="V27" s="359">
        <f t="shared" ca="1" si="3"/>
        <v>1.2247975568921623</v>
      </c>
      <c r="W27" s="357">
        <f t="shared" ca="1" si="4"/>
        <v>0.74720863829581863</v>
      </c>
      <c r="X27" s="343"/>
      <c r="Y27" s="367" t="str">
        <f t="shared" ca="1" si="22"/>
        <v/>
      </c>
      <c r="Z27" s="368" t="str">
        <f t="shared" ca="1" si="23"/>
        <v/>
      </c>
      <c r="AA27" s="369" t="str">
        <f t="shared" ca="1" si="24"/>
        <v/>
      </c>
      <c r="AB27" s="344"/>
      <c r="AC27" s="363" t="e">
        <f t="shared" ca="1" si="25"/>
        <v>#N/A</v>
      </c>
      <c r="AD27" s="376" t="e">
        <f t="shared" ca="1" si="26"/>
        <v>#N/A</v>
      </c>
      <c r="AE27" s="377">
        <f t="shared" ca="1" si="5"/>
        <v>1.6527333637684745</v>
      </c>
      <c r="AF27" s="344"/>
      <c r="AG27" s="359">
        <f t="shared" ca="1" si="27"/>
        <v>79.488884841791389</v>
      </c>
      <c r="AH27" s="357">
        <f t="shared" ca="1" si="28"/>
        <v>89.149848898841142</v>
      </c>
    </row>
    <row r="28" spans="1:34" x14ac:dyDescent="0.25">
      <c r="A28" s="402">
        <f t="shared" ca="1" si="6"/>
        <v>0.01</v>
      </c>
      <c r="B28" s="357">
        <f t="shared" ca="1" si="7"/>
        <v>0.24000000000000007</v>
      </c>
      <c r="C28" s="342"/>
      <c r="D28" s="359">
        <f t="shared" ca="1" si="8"/>
        <v>13.769765618809572</v>
      </c>
      <c r="E28" s="360">
        <f t="shared" ca="1" si="9"/>
        <v>78.096605021047282</v>
      </c>
      <c r="F28" s="357">
        <f t="shared" ca="1" si="10"/>
        <v>79.301236818919904</v>
      </c>
      <c r="G28" s="359">
        <f t="shared" ca="1" si="11"/>
        <v>2.9883576319782543</v>
      </c>
      <c r="H28" s="360">
        <f t="shared" ca="1" si="12"/>
        <v>16.948775273044212</v>
      </c>
      <c r="I28" s="357">
        <f t="shared" ca="1" si="13"/>
        <v>17.210208150767894</v>
      </c>
      <c r="J28" s="359">
        <f t="shared" ca="1" si="14"/>
        <v>0.32059997180313626</v>
      </c>
      <c r="K28" s="360">
        <f t="shared" ca="1" si="15"/>
        <v>1.8183162862478643</v>
      </c>
      <c r="L28" s="357">
        <f t="shared" ca="1" si="0"/>
        <v>1.8463635770764104</v>
      </c>
      <c r="M28" s="359">
        <f t="shared" ca="1" si="16"/>
        <v>1.3962634015954636</v>
      </c>
      <c r="N28" s="357">
        <f t="shared" ca="1" si="17"/>
        <v>80</v>
      </c>
      <c r="O28" s="343"/>
      <c r="P28" s="363">
        <f t="shared" ca="1" si="18"/>
        <v>2</v>
      </c>
      <c r="Q28" s="357">
        <f t="shared" ca="1" si="19"/>
        <v>853.94444444444446</v>
      </c>
      <c r="R28" s="359">
        <f t="shared" ca="1" si="20"/>
        <v>0.42855492992567468</v>
      </c>
      <c r="S28" s="360">
        <f t="shared" ca="1" si="21"/>
        <v>9.5905589951703956</v>
      </c>
      <c r="T28" s="357">
        <f t="shared" ca="1" si="1"/>
        <v>94.083383742621592</v>
      </c>
      <c r="U28" s="364">
        <f t="shared" ca="1" si="2"/>
        <v>16.337408135644747</v>
      </c>
      <c r="V28" s="359">
        <f t="shared" ca="1" si="3"/>
        <v>1.2247772765040228</v>
      </c>
      <c r="W28" s="357">
        <f t="shared" ca="1" si="4"/>
        <v>0.82112445014437185</v>
      </c>
      <c r="X28" s="343"/>
      <c r="Y28" s="367" t="str">
        <f t="shared" ca="1" si="22"/>
        <v/>
      </c>
      <c r="Z28" s="368" t="str">
        <f t="shared" ca="1" si="23"/>
        <v/>
      </c>
      <c r="AA28" s="369" t="str">
        <f t="shared" ca="1" si="24"/>
        <v/>
      </c>
      <c r="AB28" s="344"/>
      <c r="AC28" s="363" t="e">
        <f t="shared" ca="1" si="25"/>
        <v>#N/A</v>
      </c>
      <c r="AD28" s="376" t="e">
        <f t="shared" ca="1" si="26"/>
        <v>#N/A</v>
      </c>
      <c r="AE28" s="377">
        <f t="shared" ca="1" si="5"/>
        <v>1.8183162862478643</v>
      </c>
      <c r="AF28" s="344"/>
      <c r="AG28" s="359">
        <f t="shared" ca="1" si="27"/>
        <v>79.301236815266535</v>
      </c>
      <c r="AH28" s="357">
        <f t="shared" ca="1" si="28"/>
        <v>88.962200872316302</v>
      </c>
    </row>
    <row r="29" spans="1:34" x14ac:dyDescent="0.25">
      <c r="A29" s="402">
        <f t="shared" ca="1" si="6"/>
        <v>0.01</v>
      </c>
      <c r="B29" s="357">
        <f t="shared" ca="1" si="7"/>
        <v>0.25000000000000006</v>
      </c>
      <c r="C29" s="342"/>
      <c r="D29" s="359">
        <f t="shared" ca="1" si="8"/>
        <v>13.737076065310715</v>
      </c>
      <c r="E29" s="360">
        <f t="shared" ca="1" si="9"/>
        <v>77.911204463512803</v>
      </c>
      <c r="F29" s="357">
        <f t="shared" ca="1" si="10"/>
        <v>79.112976431047201</v>
      </c>
      <c r="G29" s="359">
        <f t="shared" ca="1" si="11"/>
        <v>3.1257283926313617</v>
      </c>
      <c r="H29" s="360">
        <f t="shared" ca="1" si="12"/>
        <v>17.72788731767934</v>
      </c>
      <c r="I29" s="357">
        <f t="shared" ca="1" si="13"/>
        <v>18.001337915078363</v>
      </c>
      <c r="J29" s="359">
        <f t="shared" ca="1" si="14"/>
        <v>0.35117040192618432</v>
      </c>
      <c r="K29" s="360">
        <f t="shared" ca="1" si="15"/>
        <v>1.9916995992014821</v>
      </c>
      <c r="L29" s="357">
        <f t="shared" ca="1" si="0"/>
        <v>2.022421307405641</v>
      </c>
      <c r="M29" s="359">
        <f t="shared" ca="1" si="16"/>
        <v>1.3962634015954636</v>
      </c>
      <c r="N29" s="357">
        <f t="shared" ca="1" si="17"/>
        <v>80</v>
      </c>
      <c r="O29" s="343"/>
      <c r="P29" s="363">
        <f t="shared" ca="1" si="18"/>
        <v>2</v>
      </c>
      <c r="Q29" s="357">
        <f t="shared" ca="1" si="19"/>
        <v>851.83333333333337</v>
      </c>
      <c r="R29" s="359">
        <f t="shared" ca="1" si="20"/>
        <v>0.42749546161930718</v>
      </c>
      <c r="S29" s="360">
        <f t="shared" ca="1" si="21"/>
        <v>9.5862840405542027</v>
      </c>
      <c r="T29" s="357">
        <f t="shared" ca="1" si="1"/>
        <v>94.04144643783674</v>
      </c>
      <c r="U29" s="364">
        <f t="shared" ca="1" si="2"/>
        <v>16.330125799092595</v>
      </c>
      <c r="V29" s="359">
        <f t="shared" ca="1" si="3"/>
        <v>1.2247560410937406</v>
      </c>
      <c r="W29" s="357">
        <f t="shared" ca="1" si="4"/>
        <v>0.89833594412127082</v>
      </c>
      <c r="X29" s="343"/>
      <c r="Y29" s="367" t="str">
        <f t="shared" ca="1" si="22"/>
        <v/>
      </c>
      <c r="Z29" s="368" t="str">
        <f t="shared" ca="1" si="23"/>
        <v/>
      </c>
      <c r="AA29" s="369" t="str">
        <f t="shared" ca="1" si="24"/>
        <v/>
      </c>
      <c r="AB29" s="344"/>
      <c r="AC29" s="363" t="e">
        <f t="shared" ca="1" si="25"/>
        <v>#N/A</v>
      </c>
      <c r="AD29" s="376" t="e">
        <f t="shared" ca="1" si="26"/>
        <v>#N/A</v>
      </c>
      <c r="AE29" s="377">
        <f t="shared" ca="1" si="5"/>
        <v>1.9916995992014821</v>
      </c>
      <c r="AF29" s="344"/>
      <c r="AG29" s="359">
        <f t="shared" ca="1" si="27"/>
        <v>79.112976427399957</v>
      </c>
      <c r="AH29" s="357">
        <f t="shared" ca="1" si="28"/>
        <v>88.773940484449724</v>
      </c>
    </row>
    <row r="30" spans="1:34" x14ac:dyDescent="0.25">
      <c r="A30" s="402">
        <f t="shared" ca="1" si="6"/>
        <v>0.01</v>
      </c>
      <c r="B30" s="357">
        <f t="shared" ca="1" si="7"/>
        <v>0.26000000000000006</v>
      </c>
      <c r="C30" s="342"/>
      <c r="D30" s="359">
        <f t="shared" ca="1" si="8"/>
        <v>13.70428061041423</v>
      </c>
      <c r="E30" s="360">
        <f t="shared" ca="1" si="9"/>
        <v>77.725203296550191</v>
      </c>
      <c r="F30" s="357">
        <f t="shared" ca="1" si="10"/>
        <v>78.924106168768432</v>
      </c>
      <c r="G30" s="359">
        <f t="shared" ca="1" si="11"/>
        <v>3.2627711987355039</v>
      </c>
      <c r="H30" s="360">
        <f t="shared" ca="1" si="12"/>
        <v>18.505139350644843</v>
      </c>
      <c r="I30" s="357">
        <f t="shared" ca="1" si="13"/>
        <v>18.790578976766046</v>
      </c>
      <c r="J30" s="359">
        <f t="shared" ca="1" si="14"/>
        <v>0.38311289988301866</v>
      </c>
      <c r="K30" s="360">
        <f t="shared" ca="1" si="15"/>
        <v>2.1728647325431032</v>
      </c>
      <c r="L30" s="357">
        <f t="shared" ca="1" si="0"/>
        <v>2.2063808918648626</v>
      </c>
      <c r="M30" s="359">
        <f t="shared" ca="1" si="16"/>
        <v>1.3962634015954636</v>
      </c>
      <c r="N30" s="357">
        <f t="shared" ca="1" si="17"/>
        <v>80</v>
      </c>
      <c r="O30" s="343"/>
      <c r="P30" s="363">
        <f t="shared" ca="1" si="18"/>
        <v>2</v>
      </c>
      <c r="Q30" s="357">
        <f t="shared" ca="1" si="19"/>
        <v>849.72222222222217</v>
      </c>
      <c r="R30" s="359">
        <f t="shared" ca="1" si="20"/>
        <v>0.42643599331293958</v>
      </c>
      <c r="S30" s="360">
        <f t="shared" ca="1" si="21"/>
        <v>9.5820196806210731</v>
      </c>
      <c r="T30" s="357">
        <f t="shared" ca="1" si="1"/>
        <v>93.999613066892735</v>
      </c>
      <c r="U30" s="364">
        <f t="shared" ca="1" si="2"/>
        <v>16.322861510462502</v>
      </c>
      <c r="V30" s="359">
        <f t="shared" ca="1" si="3"/>
        <v>1.2247338529853367</v>
      </c>
      <c r="W30" s="357">
        <f t="shared" ca="1" si="4"/>
        <v>0.97881736142467657</v>
      </c>
      <c r="X30" s="343"/>
      <c r="Y30" s="367" t="str">
        <f t="shared" ca="1" si="22"/>
        <v/>
      </c>
      <c r="Z30" s="368" t="str">
        <f t="shared" ca="1" si="23"/>
        <v/>
      </c>
      <c r="AA30" s="369" t="str">
        <f t="shared" ca="1" si="24"/>
        <v/>
      </c>
      <c r="AB30" s="344"/>
      <c r="AC30" s="363" t="e">
        <f t="shared" ca="1" si="25"/>
        <v>#N/A</v>
      </c>
      <c r="AD30" s="376" t="e">
        <f t="shared" ca="1" si="26"/>
        <v>#N/A</v>
      </c>
      <c r="AE30" s="377">
        <f t="shared" ca="1" si="5"/>
        <v>2.1728647325431032</v>
      </c>
      <c r="AF30" s="344"/>
      <c r="AG30" s="359">
        <f t="shared" ca="1" si="27"/>
        <v>78.924106165127341</v>
      </c>
      <c r="AH30" s="357">
        <f t="shared" ca="1" si="28"/>
        <v>88.585070222177109</v>
      </c>
    </row>
    <row r="31" spans="1:34" x14ac:dyDescent="0.25">
      <c r="A31" s="402">
        <f t="shared" ca="1" si="6"/>
        <v>0.01</v>
      </c>
      <c r="B31" s="357">
        <f t="shared" ca="1" si="7"/>
        <v>0.27000000000000007</v>
      </c>
      <c r="C31" s="342"/>
      <c r="D31" s="359">
        <f t="shared" ca="1" si="8"/>
        <v>13.671379688515403</v>
      </c>
      <c r="E31" s="360">
        <f t="shared" ca="1" si="9"/>
        <v>77.538603983750079</v>
      </c>
      <c r="F31" s="357">
        <f t="shared" ca="1" si="10"/>
        <v>78.734628533678716</v>
      </c>
      <c r="G31" s="359">
        <f t="shared" ca="1" si="11"/>
        <v>3.3994849956206581</v>
      </c>
      <c r="H31" s="360">
        <f t="shared" ca="1" si="12"/>
        <v>19.280525390482342</v>
      </c>
      <c r="I31" s="357">
        <f t="shared" ca="1" si="13"/>
        <v>19.577925262102831</v>
      </c>
      <c r="J31" s="359">
        <f t="shared" ca="1" si="14"/>
        <v>0.41642418085479949</v>
      </c>
      <c r="K31" s="360">
        <f t="shared" ca="1" si="15"/>
        <v>2.361793056248739</v>
      </c>
      <c r="L31" s="357">
        <f t="shared" ca="1" si="0"/>
        <v>2.3982234130592066</v>
      </c>
      <c r="M31" s="359">
        <f t="shared" ca="1" si="16"/>
        <v>1.3962634015954636</v>
      </c>
      <c r="N31" s="357">
        <f t="shared" ca="1" si="17"/>
        <v>80</v>
      </c>
      <c r="O31" s="343"/>
      <c r="P31" s="363">
        <f t="shared" ca="1" si="18"/>
        <v>2</v>
      </c>
      <c r="Q31" s="357">
        <f t="shared" ca="1" si="19"/>
        <v>847.61111111111109</v>
      </c>
      <c r="R31" s="359">
        <f t="shared" ca="1" si="20"/>
        <v>0.42537652500657203</v>
      </c>
      <c r="S31" s="360">
        <f t="shared" ca="1" si="21"/>
        <v>9.5777659153710069</v>
      </c>
      <c r="T31" s="357">
        <f t="shared" ca="1" si="1"/>
        <v>93.957883629789578</v>
      </c>
      <c r="U31" s="364">
        <f t="shared" ca="1" si="2"/>
        <v>16.315615269754474</v>
      </c>
      <c r="V31" s="359">
        <f t="shared" ca="1" si="3"/>
        <v>1.2247107145122322</v>
      </c>
      <c r="W31" s="357">
        <f t="shared" ca="1" si="4"/>
        <v>1.0625428855571943</v>
      </c>
      <c r="X31" s="343"/>
      <c r="Y31" s="367" t="str">
        <f t="shared" ca="1" si="22"/>
        <v/>
      </c>
      <c r="Z31" s="368" t="str">
        <f t="shared" ca="1" si="23"/>
        <v/>
      </c>
      <c r="AA31" s="369" t="str">
        <f t="shared" ca="1" si="24"/>
        <v/>
      </c>
      <c r="AB31" s="344"/>
      <c r="AC31" s="363" t="e">
        <f t="shared" ca="1" si="25"/>
        <v>#N/A</v>
      </c>
      <c r="AD31" s="376" t="e">
        <f t="shared" ca="1" si="26"/>
        <v>#N/A</v>
      </c>
      <c r="AE31" s="377">
        <f t="shared" ca="1" si="5"/>
        <v>2.361793056248739</v>
      </c>
      <c r="AF31" s="344"/>
      <c r="AG31" s="359">
        <f t="shared" ca="1" si="27"/>
        <v>78.73462853004375</v>
      </c>
      <c r="AH31" s="357">
        <f t="shared" ca="1" si="28"/>
        <v>88.395592587093518</v>
      </c>
    </row>
    <row r="32" spans="1:34" x14ac:dyDescent="0.25">
      <c r="A32" s="402">
        <f t="shared" ca="1" si="6"/>
        <v>0.01</v>
      </c>
      <c r="B32" s="357">
        <f t="shared" ca="1" si="7"/>
        <v>0.28000000000000008</v>
      </c>
      <c r="C32" s="342"/>
      <c r="D32" s="359">
        <f t="shared" ca="1" si="8"/>
        <v>13.638373736529331</v>
      </c>
      <c r="E32" s="360">
        <f t="shared" ca="1" si="9"/>
        <v>77.351409002993691</v>
      </c>
      <c r="F32" s="357">
        <f t="shared" ca="1" si="10"/>
        <v>78.544546041884203</v>
      </c>
      <c r="G32" s="359">
        <f t="shared" ca="1" si="11"/>
        <v>3.5358687329859513</v>
      </c>
      <c r="H32" s="360">
        <f t="shared" ca="1" si="12"/>
        <v>20.05403948051228</v>
      </c>
      <c r="I32" s="357">
        <f t="shared" ca="1" si="13"/>
        <v>20.363370722521676</v>
      </c>
      <c r="J32" s="359">
        <f t="shared" ca="1" si="14"/>
        <v>0.45110094949783253</v>
      </c>
      <c r="K32" s="360">
        <f t="shared" ca="1" si="15"/>
        <v>2.5584658806037122</v>
      </c>
      <c r="L32" s="357">
        <f t="shared" ca="1" si="0"/>
        <v>2.5979298929823287</v>
      </c>
      <c r="M32" s="359">
        <f t="shared" ca="1" si="16"/>
        <v>1.3962634015954636</v>
      </c>
      <c r="N32" s="357">
        <f t="shared" ca="1" si="17"/>
        <v>80</v>
      </c>
      <c r="O32" s="343"/>
      <c r="P32" s="363">
        <f t="shared" ca="1" si="18"/>
        <v>2</v>
      </c>
      <c r="Q32" s="357">
        <f t="shared" ca="1" si="19"/>
        <v>845.5</v>
      </c>
      <c r="R32" s="359">
        <f t="shared" ca="1" si="20"/>
        <v>0.42431705670020448</v>
      </c>
      <c r="S32" s="360">
        <f t="shared" ca="1" si="21"/>
        <v>9.5735227448040057</v>
      </c>
      <c r="T32" s="357">
        <f t="shared" ca="1" si="1"/>
        <v>93.916258126527296</v>
      </c>
      <c r="U32" s="364">
        <f t="shared" ca="1" si="2"/>
        <v>16.308387076968508</v>
      </c>
      <c r="V32" s="359">
        <f t="shared" ca="1" si="3"/>
        <v>1.2246866280172024</v>
      </c>
      <c r="W32" s="357">
        <f t="shared" ca="1" si="4"/>
        <v>1.1494866437935602</v>
      </c>
      <c r="X32" s="343"/>
      <c r="Y32" s="367" t="str">
        <f t="shared" ca="1" si="22"/>
        <v/>
      </c>
      <c r="Z32" s="368" t="str">
        <f t="shared" ca="1" si="23"/>
        <v/>
      </c>
      <c r="AA32" s="369" t="str">
        <f t="shared" ca="1" si="24"/>
        <v/>
      </c>
      <c r="AB32" s="344"/>
      <c r="AC32" s="363" t="e">
        <f t="shared" ca="1" si="25"/>
        <v>#N/A</v>
      </c>
      <c r="AD32" s="376" t="e">
        <f t="shared" ca="1" si="26"/>
        <v>#N/A</v>
      </c>
      <c r="AE32" s="377">
        <f t="shared" ca="1" si="5"/>
        <v>2.5584658806037122</v>
      </c>
      <c r="AF32" s="344"/>
      <c r="AG32" s="359">
        <f t="shared" ca="1" si="27"/>
        <v>78.544546038255362</v>
      </c>
      <c r="AH32" s="357">
        <f t="shared" ca="1" si="28"/>
        <v>88.205510095305115</v>
      </c>
    </row>
    <row r="33" spans="1:34" x14ac:dyDescent="0.25">
      <c r="A33" s="402">
        <f t="shared" ca="1" si="6"/>
        <v>0.01</v>
      </c>
      <c r="B33" s="357">
        <f t="shared" ca="1" si="7"/>
        <v>0.29000000000000009</v>
      </c>
      <c r="C33" s="342"/>
      <c r="D33" s="359">
        <f t="shared" ca="1" si="8"/>
        <v>13.605263193865055</v>
      </c>
      <c r="E33" s="360">
        <f t="shared" ca="1" si="9"/>
        <v>77.163620846306273</v>
      </c>
      <c r="F33" s="357">
        <f t="shared" ca="1" si="10"/>
        <v>78.353861223853229</v>
      </c>
      <c r="G33" s="359">
        <f t="shared" ca="1" si="11"/>
        <v>3.6719213649246019</v>
      </c>
      <c r="H33" s="360">
        <f t="shared" ca="1" si="12"/>
        <v>20.825675688975345</v>
      </c>
      <c r="I33" s="357">
        <f t="shared" ca="1" si="13"/>
        <v>21.14690933476021</v>
      </c>
      <c r="J33" s="359">
        <f t="shared" ca="1" si="14"/>
        <v>0.48713989998738527</v>
      </c>
      <c r="K33" s="360">
        <f t="shared" ca="1" si="15"/>
        <v>2.7628644564511502</v>
      </c>
      <c r="L33" s="357">
        <f t="shared" ca="1" si="0"/>
        <v>2.8054812932687376</v>
      </c>
      <c r="M33" s="359">
        <f t="shared" ca="1" si="16"/>
        <v>1.3962634015954636</v>
      </c>
      <c r="N33" s="357">
        <f t="shared" ca="1" si="17"/>
        <v>80</v>
      </c>
      <c r="O33" s="343"/>
      <c r="P33" s="363">
        <f t="shared" ca="1" si="18"/>
        <v>2</v>
      </c>
      <c r="Q33" s="357">
        <f t="shared" ca="1" si="19"/>
        <v>843.38888888888891</v>
      </c>
      <c r="R33" s="359">
        <f t="shared" ca="1" si="20"/>
        <v>0.42325758839383693</v>
      </c>
      <c r="S33" s="360">
        <f t="shared" ca="1" si="21"/>
        <v>9.5692901689200678</v>
      </c>
      <c r="T33" s="357">
        <f t="shared" ca="1" si="1"/>
        <v>93.874736557105876</v>
      </c>
      <c r="U33" s="364">
        <f t="shared" ca="1" si="2"/>
        <v>16.30117693210461</v>
      </c>
      <c r="V33" s="359">
        <f t="shared" ca="1" si="3"/>
        <v>1.2246615958523246</v>
      </c>
      <c r="W33" s="357">
        <f t="shared" ca="1" si="4"/>
        <v>1.2396227086497766</v>
      </c>
      <c r="X33" s="343"/>
      <c r="Y33" s="367" t="str">
        <f t="shared" ca="1" si="22"/>
        <v/>
      </c>
      <c r="Z33" s="368" t="str">
        <f t="shared" ca="1" si="23"/>
        <v/>
      </c>
      <c r="AA33" s="369" t="str">
        <f t="shared" ca="1" si="24"/>
        <v/>
      </c>
      <c r="AB33" s="344"/>
      <c r="AC33" s="363" t="e">
        <f t="shared" ca="1" si="25"/>
        <v>#N/A</v>
      </c>
      <c r="AD33" s="376" t="e">
        <f t="shared" ca="1" si="26"/>
        <v>#N/A</v>
      </c>
      <c r="AE33" s="377">
        <f t="shared" ca="1" si="5"/>
        <v>2.7628644564511502</v>
      </c>
      <c r="AF33" s="344"/>
      <c r="AG33" s="359">
        <f t="shared" ca="1" si="27"/>
        <v>78.353861220230485</v>
      </c>
      <c r="AH33" s="357">
        <f t="shared" ca="1" si="28"/>
        <v>88.014825277280252</v>
      </c>
    </row>
    <row r="34" spans="1:34" x14ac:dyDescent="0.25">
      <c r="A34" s="402">
        <f t="shared" ca="1" si="6"/>
        <v>0.01</v>
      </c>
      <c r="B34" s="357">
        <f t="shared" ca="1" si="7"/>
        <v>0.3000000000000001</v>
      </c>
      <c r="C34" s="342"/>
      <c r="D34" s="359">
        <f t="shared" ca="1" si="8"/>
        <v>13.572048502399563</v>
      </c>
      <c r="E34" s="360">
        <f t="shared" ca="1" si="9"/>
        <v>76.97524201970954</v>
      </c>
      <c r="F34" s="357">
        <f t="shared" ca="1" si="10"/>
        <v>78.162576624266578</v>
      </c>
      <c r="G34" s="359">
        <f t="shared" ca="1" si="11"/>
        <v>3.8076418499485976</v>
      </c>
      <c r="H34" s="360">
        <f t="shared" ca="1" si="12"/>
        <v>21.595428109172442</v>
      </c>
      <c r="I34" s="357">
        <f t="shared" ca="1" si="13"/>
        <v>21.928535101002876</v>
      </c>
      <c r="J34" s="359">
        <f t="shared" ca="1" si="14"/>
        <v>0.52453771606175126</v>
      </c>
      <c r="K34" s="360">
        <f t="shared" ca="1" si="15"/>
        <v>2.9749699754418892</v>
      </c>
      <c r="L34" s="357">
        <f t="shared" ca="1" si="0"/>
        <v>3.0208585154475531</v>
      </c>
      <c r="M34" s="359">
        <f t="shared" ca="1" si="16"/>
        <v>1.3962634015954636</v>
      </c>
      <c r="N34" s="357">
        <f t="shared" ca="1" si="17"/>
        <v>80</v>
      </c>
      <c r="O34" s="343"/>
      <c r="P34" s="363">
        <f t="shared" ca="1" si="18"/>
        <v>2</v>
      </c>
      <c r="Q34" s="357">
        <f t="shared" ca="1" si="19"/>
        <v>841.27777777777771</v>
      </c>
      <c r="R34" s="359">
        <f t="shared" ca="1" si="20"/>
        <v>0.42219812008746938</v>
      </c>
      <c r="S34" s="360">
        <f t="shared" ca="1" si="21"/>
        <v>9.5650681877191932</v>
      </c>
      <c r="T34" s="357">
        <f t="shared" ca="1" si="1"/>
        <v>93.83331892152529</v>
      </c>
      <c r="U34" s="364">
        <f t="shared" ca="1" si="2"/>
        <v>16.293984835162767</v>
      </c>
      <c r="V34" s="359">
        <f t="shared" ca="1" si="3"/>
        <v>1.2246356203789299</v>
      </c>
      <c r="W34" s="357">
        <f t="shared" ca="1" si="4"/>
        <v>1.3329250993535684</v>
      </c>
      <c r="X34" s="343"/>
      <c r="Y34" s="367" t="str">
        <f t="shared" ca="1" si="22"/>
        <v/>
      </c>
      <c r="Z34" s="368" t="str">
        <f t="shared" ca="1" si="23"/>
        <v/>
      </c>
      <c r="AA34" s="369" t="str">
        <f t="shared" ca="1" si="24"/>
        <v/>
      </c>
      <c r="AB34" s="344"/>
      <c r="AC34" s="363" t="e">
        <f t="shared" ca="1" si="25"/>
        <v>#N/A</v>
      </c>
      <c r="AD34" s="376" t="e">
        <f t="shared" ca="1" si="26"/>
        <v>#N/A</v>
      </c>
      <c r="AE34" s="377">
        <f t="shared" ca="1" si="5"/>
        <v>2.9749699754418892</v>
      </c>
      <c r="AF34" s="344"/>
      <c r="AG34" s="359">
        <f t="shared" ca="1" si="27"/>
        <v>78.162576620649929</v>
      </c>
      <c r="AH34" s="357">
        <f t="shared" ca="1" si="28"/>
        <v>87.823540677699697</v>
      </c>
    </row>
    <row r="35" spans="1:34" x14ac:dyDescent="0.25">
      <c r="A35" s="402">
        <f t="shared" ca="1" si="6"/>
        <v>0.01</v>
      </c>
      <c r="B35" s="357">
        <f t="shared" ca="1" si="7"/>
        <v>0.31000000000000011</v>
      </c>
      <c r="C35" s="342"/>
      <c r="D35" s="359">
        <f t="shared" ca="1" si="8"/>
        <v>13.538730106451654</v>
      </c>
      <c r="E35" s="360">
        <f t="shared" ca="1" si="9"/>
        <v>76.78627504307353</v>
      </c>
      <c r="F35" s="357">
        <f t="shared" ca="1" si="10"/>
        <v>77.970694801866927</v>
      </c>
      <c r="G35" s="359">
        <f t="shared" ca="1" si="11"/>
        <v>3.9430291510131141</v>
      </c>
      <c r="H35" s="360">
        <f t="shared" ca="1" si="12"/>
        <v>22.363290859603175</v>
      </c>
      <c r="I35" s="357">
        <f t="shared" ca="1" si="13"/>
        <v>22.708242049021543</v>
      </c>
      <c r="J35" s="359">
        <f t="shared" ca="1" si="14"/>
        <v>0.56329107106655985</v>
      </c>
      <c r="K35" s="360">
        <f t="shared" ca="1" si="15"/>
        <v>3.1947635702857671</v>
      </c>
      <c r="L35" s="357">
        <f t="shared" ca="1" si="0"/>
        <v>3.2440424011976745</v>
      </c>
      <c r="M35" s="359">
        <f t="shared" ca="1" si="16"/>
        <v>1.3962634015954636</v>
      </c>
      <c r="N35" s="357">
        <f t="shared" ca="1" si="17"/>
        <v>80</v>
      </c>
      <c r="O35" s="343"/>
      <c r="P35" s="363">
        <f t="shared" ca="1" si="18"/>
        <v>2</v>
      </c>
      <c r="Q35" s="357">
        <f t="shared" ca="1" si="19"/>
        <v>839.16666666666663</v>
      </c>
      <c r="R35" s="359">
        <f t="shared" ca="1" si="20"/>
        <v>0.42113865178110182</v>
      </c>
      <c r="S35" s="360">
        <f t="shared" ca="1" si="21"/>
        <v>9.5608568012013819</v>
      </c>
      <c r="T35" s="357">
        <f t="shared" ca="1" si="1"/>
        <v>93.792005219785565</v>
      </c>
      <c r="U35" s="364">
        <f t="shared" ca="1" si="2"/>
        <v>16.28681078614299</v>
      </c>
      <c r="V35" s="359">
        <f t="shared" ca="1" si="3"/>
        <v>1.2246087039675557</v>
      </c>
      <c r="W35" s="357">
        <f t="shared" ca="1" si="4"/>
        <v>1.429367783316021</v>
      </c>
      <c r="X35" s="343"/>
      <c r="Y35" s="367" t="str">
        <f t="shared" ca="1" si="22"/>
        <v/>
      </c>
      <c r="Z35" s="368" t="str">
        <f t="shared" ca="1" si="23"/>
        <v/>
      </c>
      <c r="AA35" s="369" t="str">
        <f t="shared" ca="1" si="24"/>
        <v/>
      </c>
      <c r="AB35" s="344"/>
      <c r="AC35" s="363" t="e">
        <f t="shared" ca="1" si="25"/>
        <v>#N/A</v>
      </c>
      <c r="AD35" s="376" t="e">
        <f t="shared" ca="1" si="26"/>
        <v>#N/A</v>
      </c>
      <c r="AE35" s="377">
        <f t="shared" ca="1" si="5"/>
        <v>3.1947635702857671</v>
      </c>
      <c r="AF35" s="344"/>
      <c r="AG35" s="359">
        <f t="shared" ca="1" si="27"/>
        <v>77.970694798256375</v>
      </c>
      <c r="AH35" s="357">
        <f t="shared" ca="1" si="28"/>
        <v>87.631658855306142</v>
      </c>
    </row>
    <row r="36" spans="1:34" x14ac:dyDescent="0.25">
      <c r="A36" s="402">
        <f t="shared" ca="1" si="6"/>
        <v>0.01</v>
      </c>
      <c r="B36" s="357">
        <f t="shared" ca="1" si="7"/>
        <v>0.32000000000000012</v>
      </c>
      <c r="C36" s="342"/>
      <c r="D36" s="359">
        <f t="shared" ca="1" si="8"/>
        <v>13.505308452755635</v>
      </c>
      <c r="E36" s="360">
        <f t="shared" ca="1" si="9"/>
        <v>76.596722449967473</v>
      </c>
      <c r="F36" s="357">
        <f t="shared" ca="1" si="10"/>
        <v>77.778218329307492</v>
      </c>
      <c r="G36" s="359">
        <f t="shared" ca="1" si="11"/>
        <v>4.0780822355406707</v>
      </c>
      <c r="H36" s="360">
        <f t="shared" ca="1" si="12"/>
        <v>23.129258084102851</v>
      </c>
      <c r="I36" s="357">
        <f t="shared" ca="1" si="13"/>
        <v>23.48602423231462</v>
      </c>
      <c r="J36" s="359">
        <f t="shared" ca="1" si="14"/>
        <v>0.60339662799932881</v>
      </c>
      <c r="K36" s="360">
        <f t="shared" ca="1" si="15"/>
        <v>3.4222263150042971</v>
      </c>
      <c r="L36" s="357">
        <f t="shared" ca="1" si="0"/>
        <v>3.4750137326043551</v>
      </c>
      <c r="M36" s="359">
        <f t="shared" ca="1" si="16"/>
        <v>1.3962634015954636</v>
      </c>
      <c r="N36" s="357">
        <f t="shared" ca="1" si="17"/>
        <v>80</v>
      </c>
      <c r="O36" s="343"/>
      <c r="P36" s="363">
        <f t="shared" ca="1" si="18"/>
        <v>2</v>
      </c>
      <c r="Q36" s="357">
        <f t="shared" ca="1" si="19"/>
        <v>837.05555555555554</v>
      </c>
      <c r="R36" s="359">
        <f t="shared" ca="1" si="20"/>
        <v>0.42007918347473427</v>
      </c>
      <c r="S36" s="360">
        <f t="shared" ca="1" si="21"/>
        <v>9.556656009366634</v>
      </c>
      <c r="T36" s="357">
        <f t="shared" ca="1" si="1"/>
        <v>93.750795451886688</v>
      </c>
      <c r="U36" s="364">
        <f t="shared" ca="1" si="2"/>
        <v>16.27965478504527</v>
      </c>
      <c r="V36" s="359">
        <f t="shared" ca="1" si="3"/>
        <v>1.2245808489978915</v>
      </c>
      <c r="W36" s="357">
        <f t="shared" ca="1" si="4"/>
        <v>1.5289246776042404</v>
      </c>
      <c r="X36" s="343"/>
      <c r="Y36" s="367" t="str">
        <f t="shared" ca="1" si="22"/>
        <v/>
      </c>
      <c r="Z36" s="368" t="str">
        <f t="shared" ca="1" si="23"/>
        <v/>
      </c>
      <c r="AA36" s="369" t="str">
        <f t="shared" ca="1" si="24"/>
        <v/>
      </c>
      <c r="AB36" s="344"/>
      <c r="AC36" s="363" t="e">
        <f t="shared" ca="1" si="25"/>
        <v>#N/A</v>
      </c>
      <c r="AD36" s="376" t="e">
        <f t="shared" ca="1" si="26"/>
        <v>#N/A</v>
      </c>
      <c r="AE36" s="377">
        <f t="shared" ca="1" si="5"/>
        <v>3.4222263150042971</v>
      </c>
      <c r="AF36" s="344"/>
      <c r="AG36" s="359">
        <f t="shared" ca="1" si="27"/>
        <v>77.778218325703023</v>
      </c>
      <c r="AH36" s="357">
        <f t="shared" ca="1" si="28"/>
        <v>87.43918238275279</v>
      </c>
    </row>
    <row r="37" spans="1:34" x14ac:dyDescent="0.25">
      <c r="A37" s="402">
        <f t="shared" ca="1" si="6"/>
        <v>0.01</v>
      </c>
      <c r="B37" s="357">
        <f t="shared" ca="1" si="7"/>
        <v>0.33000000000000013</v>
      </c>
      <c r="C37" s="342"/>
      <c r="D37" s="359">
        <f t="shared" ca="1" si="8"/>
        <v>13.47178399043495</v>
      </c>
      <c r="E37" s="360">
        <f t="shared" ca="1" si="9"/>
        <v>76.406586787510065</v>
      </c>
      <c r="F37" s="357">
        <f t="shared" ca="1" si="10"/>
        <v>77.585149792999999</v>
      </c>
      <c r="G37" s="359">
        <f t="shared" ca="1" si="11"/>
        <v>4.2128000754450206</v>
      </c>
      <c r="H37" s="360">
        <f t="shared" ca="1" si="12"/>
        <v>23.893323951977951</v>
      </c>
      <c r="I37" s="357">
        <f t="shared" ca="1" si="13"/>
        <v>24.261875730244618</v>
      </c>
      <c r="J37" s="359">
        <f t="shared" ca="1" si="14"/>
        <v>0.64485103955425727</v>
      </c>
      <c r="K37" s="360">
        <f t="shared" ca="1" si="15"/>
        <v>3.657339225184701</v>
      </c>
      <c r="L37" s="357">
        <f t="shared" ca="1" si="0"/>
        <v>3.7137532324171505</v>
      </c>
      <c r="M37" s="359">
        <f t="shared" ca="1" si="16"/>
        <v>1.3962634015954636</v>
      </c>
      <c r="N37" s="357">
        <f t="shared" ca="1" si="17"/>
        <v>80</v>
      </c>
      <c r="O37" s="343"/>
      <c r="P37" s="363">
        <f t="shared" ca="1" si="18"/>
        <v>2</v>
      </c>
      <c r="Q37" s="357">
        <f t="shared" ca="1" si="19"/>
        <v>834.94444444444446</v>
      </c>
      <c r="R37" s="359">
        <f t="shared" ca="1" si="20"/>
        <v>0.41901971516836672</v>
      </c>
      <c r="S37" s="360">
        <f t="shared" ca="1" si="21"/>
        <v>9.5524658122149511</v>
      </c>
      <c r="T37" s="357">
        <f t="shared" ca="1" si="1"/>
        <v>93.709689617828673</v>
      </c>
      <c r="U37" s="364">
        <f t="shared" ca="1" si="2"/>
        <v>16.272516831869616</v>
      </c>
      <c r="V37" s="359">
        <f t="shared" ca="1" si="3"/>
        <v>1.2245520578587332</v>
      </c>
      <c r="W37" s="357">
        <f t="shared" ca="1" si="4"/>
        <v>1.6315696504149253</v>
      </c>
      <c r="X37" s="343"/>
      <c r="Y37" s="367" t="str">
        <f t="shared" ca="1" si="22"/>
        <v/>
      </c>
      <c r="Z37" s="368" t="str">
        <f t="shared" ca="1" si="23"/>
        <v/>
      </c>
      <c r="AA37" s="369" t="str">
        <f t="shared" ca="1" si="24"/>
        <v/>
      </c>
      <c r="AB37" s="344"/>
      <c r="AC37" s="363" t="e">
        <f t="shared" ca="1" si="25"/>
        <v>#N/A</v>
      </c>
      <c r="AD37" s="376" t="e">
        <f t="shared" ca="1" si="26"/>
        <v>#N/A</v>
      </c>
      <c r="AE37" s="377">
        <f t="shared" ca="1" si="5"/>
        <v>3.657339225184701</v>
      </c>
      <c r="AF37" s="344"/>
      <c r="AG37" s="359">
        <f t="shared" ca="1" si="27"/>
        <v>77.585149789401612</v>
      </c>
      <c r="AH37" s="357">
        <f t="shared" ca="1" si="28"/>
        <v>87.246113846451379</v>
      </c>
    </row>
    <row r="38" spans="1:34" x14ac:dyDescent="0.25">
      <c r="A38" s="402">
        <f t="shared" ca="1" si="6"/>
        <v>0.01</v>
      </c>
      <c r="B38" s="357">
        <f t="shared" ca="1" si="7"/>
        <v>0.34000000000000014</v>
      </c>
      <c r="C38" s="342"/>
      <c r="D38" s="359">
        <f t="shared" ca="1" si="8"/>
        <v>13.438157170975639</v>
      </c>
      <c r="E38" s="360">
        <f t="shared" ca="1" si="9"/>
        <v>76.215870616219192</v>
      </c>
      <c r="F38" s="357">
        <f t="shared" ca="1" si="10"/>
        <v>77.391491792962015</v>
      </c>
      <c r="G38" s="359">
        <f t="shared" ca="1" si="11"/>
        <v>4.3471816471547768</v>
      </c>
      <c r="H38" s="360">
        <f t="shared" ca="1" si="12"/>
        <v>24.655482658140144</v>
      </c>
      <c r="I38" s="357">
        <f t="shared" ca="1" si="13"/>
        <v>25.035790648174238</v>
      </c>
      <c r="J38" s="359">
        <f t="shared" ca="1" si="14"/>
        <v>0.68765094816725625</v>
      </c>
      <c r="K38" s="360">
        <f t="shared" ca="1" si="15"/>
        <v>3.9000832582352913</v>
      </c>
      <c r="L38" s="357">
        <f t="shared" ca="1" si="0"/>
        <v>3.9602415643092446</v>
      </c>
      <c r="M38" s="359">
        <f t="shared" ca="1" si="16"/>
        <v>1.3962634015954636</v>
      </c>
      <c r="N38" s="357">
        <f t="shared" ca="1" si="17"/>
        <v>80</v>
      </c>
      <c r="O38" s="343"/>
      <c r="P38" s="363">
        <f t="shared" ca="1" si="18"/>
        <v>2</v>
      </c>
      <c r="Q38" s="357">
        <f t="shared" ca="1" si="19"/>
        <v>832.83333333333326</v>
      </c>
      <c r="R38" s="359">
        <f t="shared" ca="1" si="20"/>
        <v>0.41796024686199912</v>
      </c>
      <c r="S38" s="360">
        <f t="shared" ca="1" si="21"/>
        <v>9.5482862097463315</v>
      </c>
      <c r="T38" s="357">
        <f t="shared" ca="1" si="1"/>
        <v>93.668687717611519</v>
      </c>
      <c r="U38" s="364">
        <f t="shared" ca="1" si="2"/>
        <v>16.265396926616027</v>
      </c>
      <c r="V38" s="359">
        <f t="shared" ca="1" si="3"/>
        <v>1.22452233294793</v>
      </c>
      <c r="W38" s="357">
        <f t="shared" ca="1" si="4"/>
        <v>1.7372765225486881</v>
      </c>
      <c r="X38" s="343"/>
      <c r="Y38" s="367" t="str">
        <f t="shared" ca="1" si="22"/>
        <v>Sortie de rampe</v>
      </c>
      <c r="Z38" s="368" t="str">
        <f t="shared" ca="1" si="23"/>
        <v/>
      </c>
      <c r="AA38" s="369" t="str">
        <f t="shared" ca="1" si="24"/>
        <v/>
      </c>
      <c r="AB38" s="344"/>
      <c r="AC38" s="363" t="e">
        <f t="shared" ca="1" si="25"/>
        <v>#N/A</v>
      </c>
      <c r="AD38" s="376" t="e">
        <f t="shared" ca="1" si="26"/>
        <v>#N/A</v>
      </c>
      <c r="AE38" s="377">
        <f t="shared" ca="1" si="5"/>
        <v>3.9000832582352913</v>
      </c>
      <c r="AF38" s="344"/>
      <c r="AG38" s="359">
        <f t="shared" ca="1" si="27"/>
        <v>77.391491789369695</v>
      </c>
      <c r="AH38" s="357">
        <f t="shared" ca="1" si="28"/>
        <v>87.052455846419463</v>
      </c>
    </row>
    <row r="39" spans="1:34" x14ac:dyDescent="0.25">
      <c r="A39" s="402">
        <f t="shared" ca="1" si="6"/>
        <v>0.01</v>
      </c>
      <c r="B39" s="357">
        <f t="shared" ca="1" si="7"/>
        <v>0.35000000000000014</v>
      </c>
      <c r="C39" s="342"/>
      <c r="D39" s="359">
        <f t="shared" ca="1" si="8"/>
        <v>13.404428448199704</v>
      </c>
      <c r="E39" s="360">
        <f t="shared" ca="1" si="9"/>
        <v>76.024576509860609</v>
      </c>
      <c r="F39" s="357">
        <f t="shared" ca="1" si="10"/>
        <v>77.197246942663412</v>
      </c>
      <c r="G39" s="359">
        <f t="shared" ca="1" si="11"/>
        <v>4.4812259316367742</v>
      </c>
      <c r="H39" s="360">
        <f t="shared" ca="1" si="12"/>
        <v>25.41572842323875</v>
      </c>
      <c r="I39" s="357">
        <f t="shared" ca="1" si="13"/>
        <v>25.807763117600874</v>
      </c>
      <c r="J39" s="359">
        <f t="shared" ca="1" si="14"/>
        <v>0.73179298606121401</v>
      </c>
      <c r="K39" s="360">
        <f t="shared" ca="1" si="15"/>
        <v>4.1504393136421855</v>
      </c>
      <c r="L39" s="357">
        <f t="shared" ca="1" si="0"/>
        <v>4.2144593331381195</v>
      </c>
      <c r="M39" s="359">
        <f t="shared" ca="1" si="16"/>
        <v>1.3962634015954636</v>
      </c>
      <c r="N39" s="357">
        <f t="shared" ca="1" si="17"/>
        <v>80</v>
      </c>
      <c r="O39" s="343"/>
      <c r="P39" s="363">
        <f t="shared" ca="1" si="18"/>
        <v>2</v>
      </c>
      <c r="Q39" s="357">
        <f t="shared" ca="1" si="19"/>
        <v>830.72222222222217</v>
      </c>
      <c r="R39" s="359">
        <f t="shared" ca="1" si="20"/>
        <v>0.41690077855563162</v>
      </c>
      <c r="S39" s="360">
        <f t="shared" ca="1" si="21"/>
        <v>9.5441172019607752</v>
      </c>
      <c r="T39" s="357">
        <f t="shared" ca="1" si="1"/>
        <v>93.627789751235213</v>
      </c>
      <c r="U39" s="364">
        <f t="shared" ca="1" si="2"/>
        <v>0</v>
      </c>
      <c r="V39" s="359">
        <f t="shared" ca="1" si="3"/>
        <v>1.224491676672335</v>
      </c>
      <c r="W39" s="357">
        <f t="shared" ca="1" si="4"/>
        <v>1.846019068884998</v>
      </c>
      <c r="X39" s="343"/>
      <c r="Y39" s="367" t="str">
        <f t="shared" ca="1" si="22"/>
        <v/>
      </c>
      <c r="Z39" s="368" t="str">
        <f t="shared" ca="1" si="23"/>
        <v/>
      </c>
      <c r="AA39" s="369" t="str">
        <f t="shared" ca="1" si="24"/>
        <v/>
      </c>
      <c r="AB39" s="344"/>
      <c r="AC39" s="363" t="e">
        <f t="shared" ca="1" si="25"/>
        <v>#N/A</v>
      </c>
      <c r="AD39" s="376" t="e">
        <f t="shared" ca="1" si="26"/>
        <v>#N/A</v>
      </c>
      <c r="AE39" s="377">
        <f t="shared" ca="1" si="5"/>
        <v>4.1504393136421855</v>
      </c>
      <c r="AF39" s="344"/>
      <c r="AG39" s="359">
        <f t="shared" ca="1" si="27"/>
        <v>77.197246939077161</v>
      </c>
      <c r="AH39" s="357">
        <f t="shared" ca="1" si="28"/>
        <v>86.858210996126928</v>
      </c>
    </row>
    <row r="40" spans="1:34" x14ac:dyDescent="0.25">
      <c r="A40" s="402">
        <f t="shared" ca="1" si="6"/>
        <v>0.01</v>
      </c>
      <c r="B40" s="357">
        <f t="shared" ca="1" si="7"/>
        <v>0.36000000000000015</v>
      </c>
      <c r="C40" s="342"/>
      <c r="D40" s="359">
        <f t="shared" ca="1" si="8"/>
        <v>15.048938341267844</v>
      </c>
      <c r="E40" s="360">
        <f t="shared" ca="1" si="9"/>
        <v>75.536770419380176</v>
      </c>
      <c r="F40" s="357">
        <f t="shared" ca="1" si="10"/>
        <v>77.021258303077786</v>
      </c>
      <c r="G40" s="359">
        <f t="shared" ca="1" si="11"/>
        <v>4.631715315049453</v>
      </c>
      <c r="H40" s="360">
        <f t="shared" ca="1" si="12"/>
        <v>26.171096127432552</v>
      </c>
      <c r="I40" s="357">
        <f t="shared" ca="1" si="13"/>
        <v>26.577792595905681</v>
      </c>
      <c r="J40" s="359">
        <f t="shared" ca="1" si="14"/>
        <v>0.77735769229464513</v>
      </c>
      <c r="K40" s="360">
        <f t="shared" ca="1" si="15"/>
        <v>4.408373436395542</v>
      </c>
      <c r="L40" s="357">
        <f t="shared" ca="1" si="0"/>
        <v>4.4763870851935375</v>
      </c>
      <c r="M40" s="359">
        <f t="shared" ca="1" si="16"/>
        <v>1.395631821565378</v>
      </c>
      <c r="N40" s="357">
        <f t="shared" ca="1" si="17"/>
        <v>79.963813129851346</v>
      </c>
      <c r="O40" s="343"/>
      <c r="P40" s="363">
        <f t="shared" ca="1" si="18"/>
        <v>2</v>
      </c>
      <c r="Q40" s="357">
        <f t="shared" ca="1" si="19"/>
        <v>828.61111111111109</v>
      </c>
      <c r="R40" s="359">
        <f t="shared" ca="1" si="20"/>
        <v>0.41584131024926407</v>
      </c>
      <c r="S40" s="360">
        <f t="shared" ca="1" si="21"/>
        <v>9.5399587888582822</v>
      </c>
      <c r="T40" s="357">
        <f t="shared" ca="1" si="1"/>
        <v>93.586995718699754</v>
      </c>
      <c r="U40" s="364">
        <f t="shared" ca="1" si="2"/>
        <v>0</v>
      </c>
      <c r="V40" s="359">
        <f t="shared" ca="1" si="3"/>
        <v>1.2244600932595682</v>
      </c>
      <c r="W40" s="357">
        <f t="shared" ca="1" si="4"/>
        <v>1.9577718035144267</v>
      </c>
      <c r="X40" s="343"/>
      <c r="Y40" s="367" t="str">
        <f t="shared" ca="1" si="22"/>
        <v/>
      </c>
      <c r="Z40" s="368" t="str">
        <f t="shared" ca="1" si="23"/>
        <v/>
      </c>
      <c r="AA40" s="369" t="str">
        <f t="shared" ca="1" si="24"/>
        <v/>
      </c>
      <c r="AB40" s="344"/>
      <c r="AC40" s="363" t="e">
        <f t="shared" ca="1" si="25"/>
        <v>#N/A</v>
      </c>
      <c r="AD40" s="376" t="e">
        <f t="shared" ca="1" si="26"/>
        <v>#N/A</v>
      </c>
      <c r="AE40" s="377">
        <f t="shared" ca="1" si="5"/>
        <v>4.408373436395542</v>
      </c>
      <c r="AF40" s="344"/>
      <c r="AG40" s="359">
        <f t="shared" ca="1" si="27"/>
        <v>77.002417865291989</v>
      </c>
      <c r="AH40" s="357">
        <f t="shared" ca="1" si="28"/>
        <v>86.663381922341742</v>
      </c>
    </row>
    <row r="41" spans="1:34" x14ac:dyDescent="0.25">
      <c r="A41" s="402">
        <f t="shared" ca="1" si="6"/>
        <v>0.01</v>
      </c>
      <c r="B41" s="357">
        <f t="shared" ca="1" si="7"/>
        <v>0.37000000000000016</v>
      </c>
      <c r="C41" s="342"/>
      <c r="D41" s="359">
        <f t="shared" ca="1" si="8"/>
        <v>15.068784397478591</v>
      </c>
      <c r="E41" s="360">
        <f t="shared" ca="1" si="9"/>
        <v>75.334828247233816</v>
      </c>
      <c r="F41" s="357">
        <f t="shared" ca="1" si="10"/>
        <v>76.827108563695873</v>
      </c>
      <c r="G41" s="359">
        <f t="shared" ca="1" si="11"/>
        <v>4.7824031590242386</v>
      </c>
      <c r="H41" s="360">
        <f t="shared" ca="1" si="12"/>
        <v>26.92444440990489</v>
      </c>
      <c r="I41" s="357">
        <f t="shared" ca="1" si="13"/>
        <v>27.34587878927104</v>
      </c>
      <c r="J41" s="359">
        <f t="shared" ca="1" si="14"/>
        <v>0.82442828466501361</v>
      </c>
      <c r="K41" s="360">
        <f t="shared" ca="1" si="15"/>
        <v>4.6738511390822293</v>
      </c>
      <c r="L41" s="357">
        <f t="shared" ca="1" si="0"/>
        <v>4.7460053167749345</v>
      </c>
      <c r="M41" s="359">
        <f t="shared" ca="1" si="16"/>
        <v>1.3950066487269921</v>
      </c>
      <c r="N41" s="357">
        <f t="shared" ca="1" si="17"/>
        <v>79.927993364745618</v>
      </c>
      <c r="O41" s="343"/>
      <c r="P41" s="363">
        <f t="shared" ca="1" si="18"/>
        <v>2</v>
      </c>
      <c r="Q41" s="357">
        <f t="shared" ca="1" si="19"/>
        <v>826.5</v>
      </c>
      <c r="R41" s="359">
        <f t="shared" ca="1" si="20"/>
        <v>0.41478184194289652</v>
      </c>
      <c r="S41" s="360">
        <f t="shared" ca="1" si="21"/>
        <v>9.5358109704388525</v>
      </c>
      <c r="T41" s="357">
        <f t="shared" ca="1" si="1"/>
        <v>93.546305620005143</v>
      </c>
      <c r="U41" s="364">
        <f t="shared" ca="1" si="2"/>
        <v>0</v>
      </c>
      <c r="V41" s="359">
        <f t="shared" ca="1" si="3"/>
        <v>1.224427587004119</v>
      </c>
      <c r="W41" s="357">
        <f t="shared" ca="1" si="4"/>
        <v>2.0725093222144459</v>
      </c>
      <c r="X41" s="343"/>
      <c r="Y41" s="367" t="str">
        <f t="shared" ca="1" si="22"/>
        <v/>
      </c>
      <c r="Z41" s="368" t="str">
        <f t="shared" ca="1" si="23"/>
        <v/>
      </c>
      <c r="AA41" s="369" t="str">
        <f t="shared" ca="1" si="24"/>
        <v/>
      </c>
      <c r="AB41" s="344"/>
      <c r="AC41" s="363" t="e">
        <f t="shared" ca="1" si="25"/>
        <v>#N/A</v>
      </c>
      <c r="AD41" s="376" t="e">
        <f t="shared" ca="1" si="26"/>
        <v>#N/A</v>
      </c>
      <c r="AE41" s="377">
        <f t="shared" ca="1" si="5"/>
        <v>4.6738511390822293</v>
      </c>
      <c r="AF41" s="344"/>
      <c r="AG41" s="359">
        <f t="shared" ca="1" si="27"/>
        <v>76.808084941916277</v>
      </c>
      <c r="AH41" s="357">
        <f t="shared" ca="1" si="28"/>
        <v>86.467971182794841</v>
      </c>
    </row>
    <row r="42" spans="1:34" x14ac:dyDescent="0.25">
      <c r="A42" s="402">
        <f t="shared" ca="1" si="6"/>
        <v>0.01</v>
      </c>
      <c r="B42" s="357">
        <f t="shared" ca="1" si="7"/>
        <v>0.38000000000000017</v>
      </c>
      <c r="C42" s="342"/>
      <c r="D42" s="359">
        <f t="shared" ca="1" si="8"/>
        <v>15.087735861448468</v>
      </c>
      <c r="E42" s="360">
        <f t="shared" ca="1" si="9"/>
        <v>75.132421616286607</v>
      </c>
      <c r="F42" s="357">
        <f t="shared" ca="1" si="10"/>
        <v>76.632372737324857</v>
      </c>
      <c r="G42" s="359">
        <f t="shared" ca="1" si="11"/>
        <v>4.9332805176387229</v>
      </c>
      <c r="H42" s="360">
        <f t="shared" ca="1" si="12"/>
        <v>27.675768626067757</v>
      </c>
      <c r="I42" s="357">
        <f t="shared" ca="1" si="13"/>
        <v>28.112015682077125</v>
      </c>
      <c r="J42" s="359">
        <f t="shared" ca="1" si="14"/>
        <v>0.87300670304832839</v>
      </c>
      <c r="K42" s="360">
        <f t="shared" ca="1" si="15"/>
        <v>4.9468522042620924</v>
      </c>
      <c r="L42" s="357">
        <f t="shared" ca="1" si="0"/>
        <v>5.0232944801574231</v>
      </c>
      <c r="M42" s="359">
        <f t="shared" ca="1" si="16"/>
        <v>1.3943963656207796</v>
      </c>
      <c r="N42" s="357">
        <f t="shared" ca="1" si="17"/>
        <v>79.893026718451509</v>
      </c>
      <c r="O42" s="343"/>
      <c r="P42" s="363">
        <f t="shared" ca="1" si="18"/>
        <v>2</v>
      </c>
      <c r="Q42" s="357">
        <f t="shared" ca="1" si="19"/>
        <v>824.38888888888891</v>
      </c>
      <c r="R42" s="359">
        <f t="shared" ca="1" si="20"/>
        <v>0.41372237363652897</v>
      </c>
      <c r="S42" s="360">
        <f t="shared" ca="1" si="21"/>
        <v>9.5316737467024879</v>
      </c>
      <c r="T42" s="357">
        <f t="shared" ca="1" si="1"/>
        <v>93.505719455151407</v>
      </c>
      <c r="U42" s="364">
        <f t="shared" ca="1" si="2"/>
        <v>0</v>
      </c>
      <c r="V42" s="359">
        <f t="shared" ca="1" si="3"/>
        <v>1.2243941604549125</v>
      </c>
      <c r="W42" s="357">
        <f t="shared" ca="1" si="4"/>
        <v>2.1902053745222116</v>
      </c>
      <c r="X42" s="343"/>
      <c r="Y42" s="367" t="str">
        <f t="shared" ca="1" si="22"/>
        <v/>
      </c>
      <c r="Z42" s="368" t="str">
        <f t="shared" ca="1" si="23"/>
        <v/>
      </c>
      <c r="AA42" s="369" t="str">
        <f t="shared" ca="1" si="24"/>
        <v/>
      </c>
      <c r="AB42" s="344"/>
      <c r="AC42" s="363" t="e">
        <f t="shared" ca="1" si="25"/>
        <v>#N/A</v>
      </c>
      <c r="AD42" s="376" t="e">
        <f t="shared" ca="1" si="26"/>
        <v>#N/A</v>
      </c>
      <c r="AE42" s="377">
        <f t="shared" ca="1" si="5"/>
        <v>4.9468522042620924</v>
      </c>
      <c r="AF42" s="344"/>
      <c r="AG42" s="359">
        <f t="shared" ca="1" si="27"/>
        <v>76.61316577098043</v>
      </c>
      <c r="AH42" s="357">
        <f t="shared" ca="1" si="28"/>
        <v>86.271981334984034</v>
      </c>
    </row>
    <row r="43" spans="1:34" x14ac:dyDescent="0.25">
      <c r="A43" s="402">
        <f t="shared" ca="1" si="6"/>
        <v>0.01</v>
      </c>
      <c r="B43" s="357">
        <f t="shared" ca="1" si="7"/>
        <v>0.39000000000000018</v>
      </c>
      <c r="C43" s="342"/>
      <c r="D43" s="359">
        <f t="shared" ca="1" si="8"/>
        <v>15.105077232272365</v>
      </c>
      <c r="E43" s="360">
        <f t="shared" ca="1" si="9"/>
        <v>74.929682056301942</v>
      </c>
      <c r="F43" s="357">
        <f t="shared" ca="1" si="10"/>
        <v>76.437036907845993</v>
      </c>
      <c r="G43" s="359">
        <f t="shared" ca="1" si="11"/>
        <v>5.0843312899614466</v>
      </c>
      <c r="H43" s="360">
        <f t="shared" ca="1" si="12"/>
        <v>28.425065446630775</v>
      </c>
      <c r="I43" s="357">
        <f t="shared" ca="1" si="13"/>
        <v>28.876197296585364</v>
      </c>
      <c r="J43" s="359">
        <f t="shared" ca="1" si="14"/>
        <v>0.92309476208632923</v>
      </c>
      <c r="K43" s="360">
        <f t="shared" ca="1" si="15"/>
        <v>5.2273563746255851</v>
      </c>
      <c r="L43" s="357">
        <f t="shared" ca="1" si="0"/>
        <v>5.308234980398848</v>
      </c>
      <c r="M43" s="359">
        <f t="shared" ca="1" si="16"/>
        <v>1.3938001918603826</v>
      </c>
      <c r="N43" s="357">
        <f t="shared" ca="1" si="17"/>
        <v>79.858868478124322</v>
      </c>
      <c r="O43" s="343"/>
      <c r="P43" s="363">
        <f t="shared" ca="1" si="18"/>
        <v>2</v>
      </c>
      <c r="Q43" s="357">
        <f t="shared" ca="1" si="19"/>
        <v>822.27777777777771</v>
      </c>
      <c r="R43" s="359">
        <f t="shared" ca="1" si="20"/>
        <v>0.41266290533016137</v>
      </c>
      <c r="S43" s="360">
        <f t="shared" ca="1" si="21"/>
        <v>9.5275471176491866</v>
      </c>
      <c r="T43" s="357">
        <f t="shared" ca="1" si="1"/>
        <v>93.465237224138519</v>
      </c>
      <c r="U43" s="364">
        <f t="shared" ca="1" si="2"/>
        <v>0</v>
      </c>
      <c r="V43" s="359">
        <f t="shared" ca="1" si="3"/>
        <v>1.2243598161675604</v>
      </c>
      <c r="W43" s="357">
        <f t="shared" ca="1" si="4"/>
        <v>2.3108336672881951</v>
      </c>
      <c r="X43" s="343"/>
      <c r="Y43" s="367" t="str">
        <f t="shared" ca="1" si="22"/>
        <v/>
      </c>
      <c r="Z43" s="368" t="str">
        <f t="shared" ca="1" si="23"/>
        <v/>
      </c>
      <c r="AA43" s="369" t="str">
        <f t="shared" ca="1" si="24"/>
        <v/>
      </c>
      <c r="AB43" s="344"/>
      <c r="AC43" s="363" t="e">
        <f t="shared" ca="1" si="25"/>
        <v>#N/A</v>
      </c>
      <c r="AD43" s="376" t="e">
        <f t="shared" ca="1" si="26"/>
        <v>#N/A</v>
      </c>
      <c r="AE43" s="377">
        <f t="shared" ca="1" si="5"/>
        <v>5.2273563746255851</v>
      </c>
      <c r="AF43" s="344"/>
      <c r="AG43" s="359">
        <f t="shared" ca="1" si="27"/>
        <v>76.417648287385362</v>
      </c>
      <c r="AH43" s="357">
        <f t="shared" ca="1" si="28"/>
        <v>86.075415033539372</v>
      </c>
    </row>
    <row r="44" spans="1:34" x14ac:dyDescent="0.25">
      <c r="A44" s="402">
        <f t="shared" ca="1" si="6"/>
        <v>0.01</v>
      </c>
      <c r="B44" s="357">
        <f t="shared" ca="1" si="7"/>
        <v>0.40000000000000019</v>
      </c>
      <c r="C44" s="342"/>
      <c r="D44" s="359">
        <f t="shared" ca="1" si="8"/>
        <v>15.12088298716654</v>
      </c>
      <c r="E44" s="360">
        <f t="shared" ca="1" si="9"/>
        <v>74.726601572301149</v>
      </c>
      <c r="F44" s="357">
        <f t="shared" ca="1" si="10"/>
        <v>76.241104955640708</v>
      </c>
      <c r="G44" s="359">
        <f t="shared" ca="1" si="11"/>
        <v>5.2355401198331117</v>
      </c>
      <c r="H44" s="360">
        <f t="shared" ca="1" si="12"/>
        <v>29.172331462353785</v>
      </c>
      <c r="I44" s="357">
        <f t="shared" ca="1" si="13"/>
        <v>29.638417692174773</v>
      </c>
      <c r="J44" s="359">
        <f t="shared" ca="1" si="14"/>
        <v>0.97469411913530202</v>
      </c>
      <c r="K44" s="360">
        <f t="shared" ca="1" si="15"/>
        <v>5.5153433591705081</v>
      </c>
      <c r="L44" s="357">
        <f t="shared" ca="1" si="0"/>
        <v>5.6008071735619653</v>
      </c>
      <c r="M44" s="359">
        <f t="shared" ca="1" si="16"/>
        <v>1.3932174075405834</v>
      </c>
      <c r="N44" s="357">
        <f t="shared" ca="1" si="17"/>
        <v>79.825477396233424</v>
      </c>
      <c r="O44" s="343"/>
      <c r="P44" s="363">
        <f t="shared" ca="1" si="18"/>
        <v>2</v>
      </c>
      <c r="Q44" s="357">
        <f t="shared" ca="1" si="19"/>
        <v>820.16666666666663</v>
      </c>
      <c r="R44" s="359">
        <f t="shared" ca="1" si="20"/>
        <v>0.41160343702379387</v>
      </c>
      <c r="S44" s="360">
        <f t="shared" ca="1" si="21"/>
        <v>9.5234310832789486</v>
      </c>
      <c r="T44" s="357">
        <f t="shared" ca="1" si="1"/>
        <v>93.424858926966493</v>
      </c>
      <c r="U44" s="364">
        <f t="shared" ca="1" si="2"/>
        <v>0</v>
      </c>
      <c r="V44" s="359">
        <f t="shared" ca="1" si="3"/>
        <v>1.2243245567035868</v>
      </c>
      <c r="W44" s="357">
        <f t="shared" ca="1" si="4"/>
        <v>2.4343678662632406</v>
      </c>
      <c r="X44" s="343"/>
      <c r="Y44" s="367" t="str">
        <f t="shared" ca="1" si="22"/>
        <v/>
      </c>
      <c r="Z44" s="368" t="str">
        <f t="shared" ca="1" si="23"/>
        <v/>
      </c>
      <c r="AA44" s="369" t="str">
        <f t="shared" ca="1" si="24"/>
        <v/>
      </c>
      <c r="AB44" s="344"/>
      <c r="AC44" s="363" t="e">
        <f t="shared" ca="1" si="25"/>
        <v>#N/A</v>
      </c>
      <c r="AD44" s="376" t="e">
        <f t="shared" ca="1" si="26"/>
        <v>#N/A</v>
      </c>
      <c r="AE44" s="377">
        <f t="shared" ca="1" si="5"/>
        <v>5.5153433591705081</v>
      </c>
      <c r="AF44" s="344"/>
      <c r="AG44" s="359">
        <f t="shared" ca="1" si="27"/>
        <v>76.221536242957029</v>
      </c>
      <c r="AH44" s="357">
        <f t="shared" ca="1" si="28"/>
        <v>85.878274946027958</v>
      </c>
    </row>
    <row r="45" spans="1:34" x14ac:dyDescent="0.25">
      <c r="A45" s="402">
        <f t="shared" ca="1" si="6"/>
        <v>0.01</v>
      </c>
      <c r="B45" s="357">
        <f t="shared" ca="1" si="7"/>
        <v>0.4100000000000002</v>
      </c>
      <c r="C45" s="342"/>
      <c r="D45" s="359">
        <f t="shared" ca="1" si="8"/>
        <v>15.135221916251767</v>
      </c>
      <c r="E45" s="360">
        <f t="shared" ca="1" si="9"/>
        <v>74.523172966164267</v>
      </c>
      <c r="F45" s="357">
        <f t="shared" ca="1" si="10"/>
        <v>76.044580683958173</v>
      </c>
      <c r="G45" s="359">
        <f t="shared" ca="1" si="11"/>
        <v>5.3868923389956294</v>
      </c>
      <c r="H45" s="360">
        <f t="shared" ca="1" si="12"/>
        <v>29.917563192015429</v>
      </c>
      <c r="I45" s="357">
        <f t="shared" ca="1" si="13"/>
        <v>30.398670964701175</v>
      </c>
      <c r="J45" s="359">
        <f t="shared" ca="1" si="14"/>
        <v>1.0278062814294457</v>
      </c>
      <c r="K45" s="360">
        <f t="shared" ca="1" si="15"/>
        <v>5.8107928324423543</v>
      </c>
      <c r="L45" s="357">
        <f t="shared" ca="1" si="0"/>
        <v>5.9009913653308512</v>
      </c>
      <c r="M45" s="359">
        <f t="shared" ca="1" si="16"/>
        <v>1.3926473470896465</v>
      </c>
      <c r="N45" s="357">
        <f t="shared" ca="1" si="17"/>
        <v>79.792815338327415</v>
      </c>
      <c r="O45" s="343"/>
      <c r="P45" s="363">
        <f t="shared" ca="1" si="18"/>
        <v>2</v>
      </c>
      <c r="Q45" s="357">
        <f t="shared" ca="1" si="19"/>
        <v>818.05555555555554</v>
      </c>
      <c r="R45" s="359">
        <f t="shared" ca="1" si="20"/>
        <v>0.41054396871742632</v>
      </c>
      <c r="S45" s="360">
        <f t="shared" ca="1" si="21"/>
        <v>9.5193256435917739</v>
      </c>
      <c r="T45" s="357">
        <f t="shared" ca="1" si="1"/>
        <v>93.3845845636353</v>
      </c>
      <c r="U45" s="364">
        <f t="shared" ca="1" si="2"/>
        <v>0</v>
      </c>
      <c r="V45" s="359">
        <f t="shared" ca="1" si="3"/>
        <v>1.2242883846305002</v>
      </c>
      <c r="W45" s="357">
        <f t="shared" ca="1" si="4"/>
        <v>2.5607815976834258</v>
      </c>
      <c r="X45" s="343"/>
      <c r="Y45" s="367" t="str">
        <f t="shared" ca="1" si="22"/>
        <v/>
      </c>
      <c r="Z45" s="368" t="str">
        <f t="shared" ca="1" si="23"/>
        <v/>
      </c>
      <c r="AA45" s="369" t="str">
        <f t="shared" ca="1" si="24"/>
        <v/>
      </c>
      <c r="AB45" s="344"/>
      <c r="AC45" s="363" t="e">
        <f t="shared" ca="1" si="25"/>
        <v>#N/A</v>
      </c>
      <c r="AD45" s="376" t="e">
        <f t="shared" ca="1" si="26"/>
        <v>#N/A</v>
      </c>
      <c r="AE45" s="377">
        <f t="shared" ca="1" si="5"/>
        <v>5.8107928324423543</v>
      </c>
      <c r="AF45" s="344"/>
      <c r="AG45" s="359">
        <f t="shared" ca="1" si="27"/>
        <v>76.024833321493134</v>
      </c>
      <c r="AH45" s="357">
        <f t="shared" ca="1" si="28"/>
        <v>85.680563752785659</v>
      </c>
    </row>
    <row r="46" spans="1:34" x14ac:dyDescent="0.25">
      <c r="A46" s="402">
        <f t="shared" ca="1" si="6"/>
        <v>0.01</v>
      </c>
      <c r="B46" s="357">
        <f t="shared" ca="1" si="7"/>
        <v>0.42000000000000021</v>
      </c>
      <c r="C46" s="342"/>
      <c r="D46" s="359">
        <f t="shared" ca="1" si="8"/>
        <v>15.148157698232207</v>
      </c>
      <c r="E46" s="360">
        <f t="shared" ca="1" si="9"/>
        <v>74.319389759434813</v>
      </c>
      <c r="F46" s="357">
        <f t="shared" ca="1" si="10"/>
        <v>75.847467827642703</v>
      </c>
      <c r="G46" s="359">
        <f t="shared" ca="1" si="11"/>
        <v>5.5383739159779513</v>
      </c>
      <c r="H46" s="360">
        <f t="shared" ca="1" si="12"/>
        <v>30.660757089609778</v>
      </c>
      <c r="I46" s="357">
        <f t="shared" ca="1" si="13"/>
        <v>31.156951245929715</v>
      </c>
      <c r="J46" s="359">
        <f t="shared" ca="1" si="14"/>
        <v>1.0824326127043136</v>
      </c>
      <c r="K46" s="360">
        <f t="shared" ca="1" si="15"/>
        <v>6.1136844338504801</v>
      </c>
      <c r="L46" s="357">
        <f t="shared" ca="1" si="0"/>
        <v>6.2087678099403556</v>
      </c>
      <c r="M46" s="359">
        <f t="shared" ca="1" si="16"/>
        <v>1.3920893938872951</v>
      </c>
      <c r="N46" s="357">
        <f t="shared" ca="1" si="17"/>
        <v>79.760846974666876</v>
      </c>
      <c r="O46" s="343"/>
      <c r="P46" s="363">
        <f t="shared" ca="1" si="18"/>
        <v>2</v>
      </c>
      <c r="Q46" s="357">
        <f t="shared" ca="1" si="19"/>
        <v>815.94444444444434</v>
      </c>
      <c r="R46" s="359">
        <f t="shared" ca="1" si="20"/>
        <v>0.40948450041105872</v>
      </c>
      <c r="S46" s="360">
        <f t="shared" ca="1" si="21"/>
        <v>9.5152307985876625</v>
      </c>
      <c r="T46" s="357">
        <f t="shared" ca="1" si="1"/>
        <v>93.344414134144969</v>
      </c>
      <c r="U46" s="364">
        <f t="shared" ca="1" si="2"/>
        <v>0</v>
      </c>
      <c r="V46" s="359">
        <f t="shared" ca="1" si="3"/>
        <v>1.2242513025218593</v>
      </c>
      <c r="W46" s="357">
        <f t="shared" ca="1" si="4"/>
        <v>2.6900484498465875</v>
      </c>
      <c r="X46" s="343"/>
      <c r="Y46" s="367" t="str">
        <f t="shared" ca="1" si="22"/>
        <v/>
      </c>
      <c r="Z46" s="368" t="str">
        <f t="shared" ca="1" si="23"/>
        <v/>
      </c>
      <c r="AA46" s="369" t="str">
        <f t="shared" ca="1" si="24"/>
        <v/>
      </c>
      <c r="AB46" s="344"/>
      <c r="AC46" s="363" t="e">
        <f t="shared" ca="1" si="25"/>
        <v>#N/A</v>
      </c>
      <c r="AD46" s="376" t="e">
        <f t="shared" ca="1" si="26"/>
        <v>#N/A</v>
      </c>
      <c r="AE46" s="377">
        <f t="shared" ca="1" si="5"/>
        <v>6.1136844338504801</v>
      </c>
      <c r="AF46" s="344"/>
      <c r="AG46" s="359">
        <f t="shared" ca="1" si="27"/>
        <v>75.827543146575181</v>
      </c>
      <c r="AH46" s="357">
        <f t="shared" ca="1" si="28"/>
        <v>85.482284146748256</v>
      </c>
    </row>
    <row r="47" spans="1:34" x14ac:dyDescent="0.25">
      <c r="A47" s="402">
        <f t="shared" ca="1" si="6"/>
        <v>0.01</v>
      </c>
      <c r="B47" s="357">
        <f t="shared" ca="1" si="7"/>
        <v>0.43000000000000022</v>
      </c>
      <c r="C47" s="342"/>
      <c r="D47" s="359">
        <f t="shared" ca="1" si="8"/>
        <v>15.159749404584643</v>
      </c>
      <c r="E47" s="360">
        <f t="shared" ca="1" si="9"/>
        <v>74.115246125468815</v>
      </c>
      <c r="F47" s="357">
        <f t="shared" ca="1" si="10"/>
        <v>75.64977006077828</v>
      </c>
      <c r="G47" s="359">
        <f t="shared" ca="1" si="11"/>
        <v>5.6899714100237979</v>
      </c>
      <c r="H47" s="360">
        <f t="shared" ca="1" si="12"/>
        <v>31.401909550864467</v>
      </c>
      <c r="I47" s="357">
        <f t="shared" ca="1" si="13"/>
        <v>31.913252703031716</v>
      </c>
      <c r="J47" s="359">
        <f t="shared" ca="1" si="14"/>
        <v>1.1385743393343224</v>
      </c>
      <c r="K47" s="360">
        <f t="shared" ca="1" si="15"/>
        <v>6.4239977670528514</v>
      </c>
      <c r="L47" s="357">
        <f t="shared" ca="1" si="0"/>
        <v>6.5241167093554218</v>
      </c>
      <c r="M47" s="359">
        <f t="shared" ca="1" si="16"/>
        <v>1.3915429755363025</v>
      </c>
      <c r="N47" s="357">
        <f t="shared" ca="1" si="17"/>
        <v>79.729539509306491</v>
      </c>
      <c r="O47" s="343"/>
      <c r="P47" s="363">
        <f t="shared" ca="1" si="18"/>
        <v>2</v>
      </c>
      <c r="Q47" s="357">
        <f t="shared" ca="1" si="19"/>
        <v>813.83333333333326</v>
      </c>
      <c r="R47" s="359">
        <f t="shared" ca="1" si="20"/>
        <v>0.40842503210469117</v>
      </c>
      <c r="S47" s="360">
        <f t="shared" ca="1" si="21"/>
        <v>9.5111465482666162</v>
      </c>
      <c r="T47" s="357">
        <f t="shared" ca="1" si="1"/>
        <v>93.304347638495514</v>
      </c>
      <c r="U47" s="364">
        <f t="shared" ca="1" si="2"/>
        <v>0</v>
      </c>
      <c r="V47" s="359">
        <f t="shared" ca="1" si="3"/>
        <v>1.2242133129573265</v>
      </c>
      <c r="W47" s="357">
        <f t="shared" ca="1" si="4"/>
        <v>2.8221419746811405</v>
      </c>
      <c r="X47" s="343"/>
      <c r="Y47" s="367" t="str">
        <f t="shared" ca="1" si="22"/>
        <v/>
      </c>
      <c r="Z47" s="368" t="str">
        <f t="shared" ca="1" si="23"/>
        <v/>
      </c>
      <c r="AA47" s="369" t="str">
        <f t="shared" ca="1" si="24"/>
        <v/>
      </c>
      <c r="AB47" s="344"/>
      <c r="AC47" s="363" t="e">
        <f t="shared" ca="1" si="25"/>
        <v>#N/A</v>
      </c>
      <c r="AD47" s="376" t="e">
        <f t="shared" ca="1" si="26"/>
        <v>#N/A</v>
      </c>
      <c r="AE47" s="377">
        <f t="shared" ca="1" si="5"/>
        <v>6.4239977670528514</v>
      </c>
      <c r="AF47" s="344"/>
      <c r="AG47" s="359">
        <f t="shared" ca="1" si="27"/>
        <v>75.629669288409275</v>
      </c>
      <c r="AH47" s="357">
        <f t="shared" ca="1" si="28"/>
        <v>85.283438833283</v>
      </c>
    </row>
    <row r="48" spans="1:34" x14ac:dyDescent="0.25">
      <c r="A48" s="402">
        <f t="shared" ca="1" si="6"/>
        <v>0.01</v>
      </c>
      <c r="B48" s="357">
        <f t="shared" ca="1" si="7"/>
        <v>0.44000000000000022</v>
      </c>
      <c r="C48" s="342"/>
      <c r="D48" s="359">
        <f t="shared" ca="1" si="8"/>
        <v>15.170051942696995</v>
      </c>
      <c r="E48" s="360">
        <f t="shared" ca="1" si="9"/>
        <v>73.910736829588799</v>
      </c>
      <c r="F48" s="357">
        <f t="shared" ca="1" si="10"/>
        <v>75.451491003404684</v>
      </c>
      <c r="G48" s="359">
        <f t="shared" ca="1" si="11"/>
        <v>5.8416719294507677</v>
      </c>
      <c r="H48" s="360">
        <f t="shared" ca="1" si="12"/>
        <v>32.141016919160357</v>
      </c>
      <c r="I48" s="357">
        <f t="shared" ca="1" si="13"/>
        <v>32.667569538138061</v>
      </c>
      <c r="J48" s="359">
        <f t="shared" ca="1" si="14"/>
        <v>1.1962325560316953</v>
      </c>
      <c r="K48" s="360">
        <f t="shared" ca="1" si="15"/>
        <v>6.7417123994029753</v>
      </c>
      <c r="L48" s="357">
        <f t="shared" ca="1" si="0"/>
        <v>6.8470182126509602</v>
      </c>
      <c r="M48" s="359">
        <f t="shared" ca="1" si="16"/>
        <v>1.3910075596943992</v>
      </c>
      <c r="N48" s="357">
        <f t="shared" ca="1" si="17"/>
        <v>79.698862441280994</v>
      </c>
      <c r="O48" s="343"/>
      <c r="P48" s="363">
        <f t="shared" ca="1" si="18"/>
        <v>2</v>
      </c>
      <c r="Q48" s="357">
        <f t="shared" ca="1" si="19"/>
        <v>811.72222222222217</v>
      </c>
      <c r="R48" s="359">
        <f t="shared" ca="1" si="20"/>
        <v>0.40736556379832362</v>
      </c>
      <c r="S48" s="360">
        <f t="shared" ca="1" si="21"/>
        <v>9.5070728926286332</v>
      </c>
      <c r="T48" s="357">
        <f t="shared" ca="1" si="1"/>
        <v>93.264385076686892</v>
      </c>
      <c r="U48" s="364">
        <f t="shared" ca="1" si="2"/>
        <v>0</v>
      </c>
      <c r="V48" s="359">
        <f t="shared" ca="1" si="3"/>
        <v>1.2241744185227175</v>
      </c>
      <c r="W48" s="357">
        <f t="shared" ca="1" si="4"/>
        <v>2.9570356893077547</v>
      </c>
      <c r="X48" s="343"/>
      <c r="Y48" s="367" t="str">
        <f t="shared" ca="1" si="22"/>
        <v/>
      </c>
      <c r="Z48" s="368" t="str">
        <f t="shared" ca="1" si="23"/>
        <v/>
      </c>
      <c r="AA48" s="369" t="str">
        <f t="shared" ca="1" si="24"/>
        <v/>
      </c>
      <c r="AB48" s="344"/>
      <c r="AC48" s="363" t="e">
        <f t="shared" ca="1" si="25"/>
        <v>#N/A</v>
      </c>
      <c r="AD48" s="376" t="e">
        <f t="shared" ca="1" si="26"/>
        <v>#N/A</v>
      </c>
      <c r="AE48" s="377">
        <f t="shared" ca="1" si="5"/>
        <v>6.7417123994029753</v>
      </c>
      <c r="AF48" s="344"/>
      <c r="AG48" s="359">
        <f t="shared" ca="1" si="27"/>
        <v>75.431215269834595</v>
      </c>
      <c r="AH48" s="357">
        <f t="shared" ca="1" si="28"/>
        <v>85.084030530020087</v>
      </c>
    </row>
    <row r="49" spans="1:34" x14ac:dyDescent="0.25">
      <c r="A49" s="402">
        <f t="shared" ca="1" si="6"/>
        <v>0.01</v>
      </c>
      <c r="B49" s="357">
        <f t="shared" ca="1" si="7"/>
        <v>0.45000000000000023</v>
      </c>
      <c r="C49" s="342"/>
      <c r="D49" s="359">
        <f t="shared" ca="1" si="8"/>
        <v>15.179116446653248</v>
      </c>
      <c r="E49" s="360">
        <f t="shared" ca="1" si="9"/>
        <v>73.70585717612478</v>
      </c>
      <c r="F49" s="357">
        <f t="shared" ca="1" si="10"/>
        <v>75.252634227436616</v>
      </c>
      <c r="G49" s="359">
        <f t="shared" ca="1" si="11"/>
        <v>5.9934630939172999</v>
      </c>
      <c r="H49" s="360">
        <f t="shared" ca="1" si="12"/>
        <v>32.878075490921603</v>
      </c>
      <c r="I49" s="357">
        <f t="shared" ca="1" si="13"/>
        <v>33.419895987942397</v>
      </c>
      <c r="J49" s="359">
        <f t="shared" ca="1" si="14"/>
        <v>1.2554082311485357</v>
      </c>
      <c r="K49" s="360">
        <f t="shared" ca="1" si="15"/>
        <v>7.0668078614533849</v>
      </c>
      <c r="L49" s="357">
        <f t="shared" ca="1" si="0"/>
        <v>7.177452415553506</v>
      </c>
      <c r="M49" s="359">
        <f t="shared" ca="1" si="16"/>
        <v>1.3904826503883971</v>
      </c>
      <c r="N49" s="357">
        <f t="shared" ca="1" si="17"/>
        <v>79.66878735341993</v>
      </c>
      <c r="O49" s="343"/>
      <c r="P49" s="363">
        <f t="shared" ca="1" si="18"/>
        <v>2</v>
      </c>
      <c r="Q49" s="357">
        <f t="shared" ca="1" si="19"/>
        <v>809.61111111111109</v>
      </c>
      <c r="R49" s="359">
        <f t="shared" ca="1" si="20"/>
        <v>0.40630609549195612</v>
      </c>
      <c r="S49" s="360">
        <f t="shared" ca="1" si="21"/>
        <v>9.5030098316737135</v>
      </c>
      <c r="T49" s="357">
        <f t="shared" ca="1" si="1"/>
        <v>93.224526448719132</v>
      </c>
      <c r="U49" s="364">
        <f t="shared" ca="1" si="2"/>
        <v>0</v>
      </c>
      <c r="V49" s="359">
        <f t="shared" ca="1" si="3"/>
        <v>1.2241346218100417</v>
      </c>
      <c r="W49" s="357">
        <f t="shared" ca="1" si="4"/>
        <v>3.0947030775943025</v>
      </c>
      <c r="X49" s="343"/>
      <c r="Y49" s="367" t="str">
        <f t="shared" ca="1" si="22"/>
        <v/>
      </c>
      <c r="Z49" s="368" t="str">
        <f t="shared" ca="1" si="23"/>
        <v/>
      </c>
      <c r="AA49" s="369" t="str">
        <f t="shared" ca="1" si="24"/>
        <v/>
      </c>
      <c r="AB49" s="344"/>
      <c r="AC49" s="363" t="e">
        <f t="shared" ca="1" si="25"/>
        <v>#N/A</v>
      </c>
      <c r="AD49" s="376" t="e">
        <f t="shared" ca="1" si="26"/>
        <v>#N/A</v>
      </c>
      <c r="AE49" s="377">
        <f t="shared" ca="1" si="5"/>
        <v>7.0668078614533849</v>
      </c>
      <c r="AF49" s="344"/>
      <c r="AG49" s="359">
        <f t="shared" ca="1" si="27"/>
        <v>75.232184571616585</v>
      </c>
      <c r="AH49" s="357">
        <f t="shared" ca="1" si="28"/>
        <v>84.884061966684484</v>
      </c>
    </row>
    <row r="50" spans="1:34" x14ac:dyDescent="0.25">
      <c r="A50" s="402">
        <f t="shared" ca="1" si="6"/>
        <v>0.01</v>
      </c>
      <c r="B50" s="357">
        <f t="shared" ca="1" si="7"/>
        <v>0.46000000000000024</v>
      </c>
      <c r="C50" s="342"/>
      <c r="D50" s="359">
        <f t="shared" ca="1" si="8"/>
        <v>15.186990622946688</v>
      </c>
      <c r="E50" s="360">
        <f t="shared" ca="1" si="9"/>
        <v>73.500602961401938</v>
      </c>
      <c r="F50" s="357">
        <f t="shared" ca="1" si="10"/>
        <v>75.053203261893614</v>
      </c>
      <c r="G50" s="359">
        <f t="shared" ca="1" si="11"/>
        <v>6.145333000146767</v>
      </c>
      <c r="H50" s="360">
        <f t="shared" ca="1" si="12"/>
        <v>33.613081520535623</v>
      </c>
      <c r="I50" s="357">
        <f t="shared" ca="1" si="13"/>
        <v>34.170226323348608</v>
      </c>
      <c r="J50" s="359">
        <f t="shared" ca="1" si="14"/>
        <v>1.3161022116188561</v>
      </c>
      <c r="K50" s="360">
        <f t="shared" ca="1" si="15"/>
        <v>7.3992636465106711</v>
      </c>
      <c r="L50" s="357">
        <f t="shared" ca="1" si="0"/>
        <v>7.515399360114035</v>
      </c>
      <c r="M50" s="359">
        <f t="shared" ca="1" si="16"/>
        <v>1.389967784744883</v>
      </c>
      <c r="N50" s="357">
        <f t="shared" ca="1" si="17"/>
        <v>79.639287725030286</v>
      </c>
      <c r="O50" s="343"/>
      <c r="P50" s="363">
        <f t="shared" ca="1" si="18"/>
        <v>2</v>
      </c>
      <c r="Q50" s="357">
        <f t="shared" ca="1" si="19"/>
        <v>807.5</v>
      </c>
      <c r="R50" s="359">
        <f t="shared" ca="1" si="20"/>
        <v>0.40524662718558857</v>
      </c>
      <c r="S50" s="360">
        <f t="shared" ca="1" si="21"/>
        <v>9.4989573654018571</v>
      </c>
      <c r="T50" s="357">
        <f t="shared" ca="1" si="1"/>
        <v>93.184771754592219</v>
      </c>
      <c r="U50" s="364">
        <f t="shared" ca="1" si="2"/>
        <v>0</v>
      </c>
      <c r="V50" s="359">
        <f t="shared" ca="1" si="3"/>
        <v>1.2240939254175383</v>
      </c>
      <c r="W50" s="357">
        <f t="shared" ca="1" si="4"/>
        <v>3.2351175917045558</v>
      </c>
      <c r="X50" s="343"/>
      <c r="Y50" s="367" t="str">
        <f t="shared" ca="1" si="22"/>
        <v/>
      </c>
      <c r="Z50" s="368" t="str">
        <f t="shared" ca="1" si="23"/>
        <v/>
      </c>
      <c r="AA50" s="369" t="str">
        <f t="shared" ca="1" si="24"/>
        <v/>
      </c>
      <c r="AB50" s="344"/>
      <c r="AC50" s="363" t="e">
        <f t="shared" ca="1" si="25"/>
        <v>#N/A</v>
      </c>
      <c r="AD50" s="376" t="e">
        <f t="shared" ca="1" si="26"/>
        <v>#N/A</v>
      </c>
      <c r="AE50" s="377">
        <f t="shared" ca="1" si="5"/>
        <v>7.3992636465106711</v>
      </c>
      <c r="AF50" s="344"/>
      <c r="AG50" s="359">
        <f t="shared" ca="1" si="27"/>
        <v>75.032580637122294</v>
      </c>
      <c r="AH50" s="357">
        <f t="shared" ca="1" si="28"/>
        <v>84.683535884927622</v>
      </c>
    </row>
    <row r="51" spans="1:34" x14ac:dyDescent="0.25">
      <c r="A51" s="402">
        <f t="shared" ca="1" si="6"/>
        <v>0.01</v>
      </c>
      <c r="B51" s="357">
        <f t="shared" ca="1" si="7"/>
        <v>0.47000000000000025</v>
      </c>
      <c r="C51" s="342"/>
      <c r="D51" s="359">
        <f t="shared" ca="1" si="8"/>
        <v>15.193719057244396</v>
      </c>
      <c r="E51" s="360">
        <f t="shared" ca="1" si="9"/>
        <v>73.294970431882902</v>
      </c>
      <c r="F51" s="357">
        <f t="shared" ca="1" si="10"/>
        <v>74.853201597533968</v>
      </c>
      <c r="G51" s="359">
        <f t="shared" ca="1" si="11"/>
        <v>6.2972701907192112</v>
      </c>
      <c r="H51" s="360">
        <f t="shared" ca="1" si="12"/>
        <v>34.34603122485445</v>
      </c>
      <c r="I51" s="357">
        <f t="shared" ca="1" si="13"/>
        <v>34.918554849157168</v>
      </c>
      <c r="J51" s="359">
        <f t="shared" ca="1" si="14"/>
        <v>1.378315227573186</v>
      </c>
      <c r="K51" s="360">
        <f t="shared" ca="1" si="15"/>
        <v>7.7390592102376212</v>
      </c>
      <c r="L51" s="357">
        <f t="shared" ca="1" si="0"/>
        <v>7.8608390344875954</v>
      </c>
      <c r="M51" s="359">
        <f t="shared" ca="1" si="16"/>
        <v>1.3894625300820436</v>
      </c>
      <c r="N51" s="357">
        <f t="shared" ca="1" si="17"/>
        <v>79.610338765270285</v>
      </c>
      <c r="O51" s="343"/>
      <c r="P51" s="363">
        <f t="shared" ca="1" si="18"/>
        <v>2</v>
      </c>
      <c r="Q51" s="357">
        <f t="shared" ca="1" si="19"/>
        <v>805.3888888888888</v>
      </c>
      <c r="R51" s="359">
        <f t="shared" ca="1" si="20"/>
        <v>0.40418715887922096</v>
      </c>
      <c r="S51" s="360">
        <f t="shared" ca="1" si="21"/>
        <v>9.4949154938130658</v>
      </c>
      <c r="T51" s="357">
        <f t="shared" ca="1" si="1"/>
        <v>93.145120994306183</v>
      </c>
      <c r="U51" s="364">
        <f t="shared" ca="1" si="2"/>
        <v>0</v>
      </c>
      <c r="V51" s="359">
        <f t="shared" ca="1" si="3"/>
        <v>1.2240523319497036</v>
      </c>
      <c r="W51" s="357">
        <f t="shared" ca="1" si="4"/>
        <v>3.3782526536408666</v>
      </c>
      <c r="X51" s="343"/>
      <c r="Y51" s="367" t="str">
        <f t="shared" ca="1" si="22"/>
        <v/>
      </c>
      <c r="Z51" s="368" t="str">
        <f t="shared" ca="1" si="23"/>
        <v/>
      </c>
      <c r="AA51" s="369" t="str">
        <f t="shared" ca="1" si="24"/>
        <v/>
      </c>
      <c r="AB51" s="344"/>
      <c r="AC51" s="363" t="e">
        <f t="shared" ca="1" si="25"/>
        <v>#N/A</v>
      </c>
      <c r="AD51" s="376" t="e">
        <f t="shared" ca="1" si="26"/>
        <v>#N/A</v>
      </c>
      <c r="AE51" s="377">
        <f t="shared" ca="1" si="5"/>
        <v>7.7390592102376212</v>
      </c>
      <c r="AF51" s="344"/>
      <c r="AG51" s="359">
        <f t="shared" ca="1" si="27"/>
        <v>74.832406876460695</v>
      </c>
      <c r="AH51" s="357">
        <f t="shared" ca="1" si="28"/>
        <v>84.482455038159273</v>
      </c>
    </row>
    <row r="52" spans="1:34" x14ac:dyDescent="0.25">
      <c r="A52" s="402">
        <f t="shared" ca="1" si="6"/>
        <v>0.01</v>
      </c>
      <c r="B52" s="357">
        <f t="shared" ca="1" si="7"/>
        <v>0.48000000000000026</v>
      </c>
      <c r="C52" s="342"/>
      <c r="D52" s="359">
        <f t="shared" ca="1" si="8"/>
        <v>15.199343487374882</v>
      </c>
      <c r="E52" s="360">
        <f t="shared" ca="1" si="9"/>
        <v>73.088956246793074</v>
      </c>
      <c r="F52" s="357">
        <f t="shared" ca="1" si="10"/>
        <v>74.652632690969696</v>
      </c>
      <c r="G52" s="359">
        <f t="shared" ca="1" si="11"/>
        <v>6.4492636255929598</v>
      </c>
      <c r="H52" s="360">
        <f t="shared" ca="1" si="12"/>
        <v>35.076920787322379</v>
      </c>
      <c r="I52" s="357">
        <f t="shared" ca="1" si="13"/>
        <v>35.664875903786424</v>
      </c>
      <c r="J52" s="359">
        <f t="shared" ca="1" si="14"/>
        <v>1.442047896654747</v>
      </c>
      <c r="K52" s="360">
        <f t="shared" ca="1" si="15"/>
        <v>8.0861739702985052</v>
      </c>
      <c r="L52" s="357">
        <f t="shared" ca="1" si="0"/>
        <v>8.2137513728003402</v>
      </c>
      <c r="M52" s="359">
        <f t="shared" ca="1" si="16"/>
        <v>1.3889664813156306</v>
      </c>
      <c r="N52" s="357">
        <f t="shared" ca="1" si="17"/>
        <v>79.581917264522147</v>
      </c>
      <c r="O52" s="343"/>
      <c r="P52" s="363">
        <f t="shared" ca="1" si="18"/>
        <v>2</v>
      </c>
      <c r="Q52" s="357">
        <f t="shared" ca="1" si="19"/>
        <v>803.27777777777771</v>
      </c>
      <c r="R52" s="359">
        <f t="shared" ca="1" si="20"/>
        <v>0.40312769057285341</v>
      </c>
      <c r="S52" s="360">
        <f t="shared" ca="1" si="21"/>
        <v>9.4908842169073377</v>
      </c>
      <c r="T52" s="357">
        <f t="shared" ca="1" si="1"/>
        <v>93.105574167860993</v>
      </c>
      <c r="U52" s="364">
        <f t="shared" ca="1" si="2"/>
        <v>0</v>
      </c>
      <c r="V52" s="359">
        <f t="shared" ca="1" si="3"/>
        <v>1.2240098440173151</v>
      </c>
      <c r="W52" s="357">
        <f t="shared" ca="1" si="4"/>
        <v>3.5240816567812097</v>
      </c>
      <c r="X52" s="343"/>
      <c r="Y52" s="367" t="str">
        <f t="shared" ca="1" si="22"/>
        <v/>
      </c>
      <c r="Z52" s="368" t="str">
        <f t="shared" ca="1" si="23"/>
        <v/>
      </c>
      <c r="AA52" s="369" t="str">
        <f t="shared" ca="1" si="24"/>
        <v/>
      </c>
      <c r="AB52" s="344"/>
      <c r="AC52" s="363" t="e">
        <f t="shared" ca="1" si="25"/>
        <v>#N/A</v>
      </c>
      <c r="AD52" s="376" t="e">
        <f t="shared" ca="1" si="26"/>
        <v>#N/A</v>
      </c>
      <c r="AE52" s="377">
        <f t="shared" ca="1" si="5"/>
        <v>8.0861739702985052</v>
      </c>
      <c r="AF52" s="344"/>
      <c r="AG52" s="359">
        <f t="shared" ca="1" si="27"/>
        <v>74.631666670157898</v>
      </c>
      <c r="AH52" s="357">
        <f t="shared" ca="1" si="28"/>
        <v>84.280822191379443</v>
      </c>
    </row>
    <row r="53" spans="1:34" x14ac:dyDescent="0.25">
      <c r="A53" s="402">
        <f t="shared" ca="1" si="6"/>
        <v>0.01</v>
      </c>
      <c r="B53" s="357">
        <f t="shared" ca="1" si="7"/>
        <v>0.49000000000000027</v>
      </c>
      <c r="C53" s="342"/>
      <c r="D53" s="359">
        <f t="shared" ca="1" si="8"/>
        <v>15.203903046924172</v>
      </c>
      <c r="E53" s="360">
        <f t="shared" ca="1" si="9"/>
        <v>72.882557444657863</v>
      </c>
      <c r="F53" s="357">
        <f t="shared" ca="1" si="10"/>
        <v>74.451499968329202</v>
      </c>
      <c r="G53" s="359">
        <f t="shared" ca="1" si="11"/>
        <v>6.6013026560622015</v>
      </c>
      <c r="H53" s="360">
        <f t="shared" ca="1" si="12"/>
        <v>35.805746361768961</v>
      </c>
      <c r="I53" s="357">
        <f t="shared" ca="1" si="13"/>
        <v>36.409183859024701</v>
      </c>
      <c r="J53" s="359">
        <f t="shared" ca="1" si="14"/>
        <v>1.5073007280630228</v>
      </c>
      <c r="K53" s="360">
        <f t="shared" ca="1" si="15"/>
        <v>8.4405873060439625</v>
      </c>
      <c r="L53" s="357">
        <f t="shared" ca="1" si="0"/>
        <v>8.5741162550883221</v>
      </c>
      <c r="M53" s="359">
        <f t="shared" ca="1" si="16"/>
        <v>1.3884792586390755</v>
      </c>
      <c r="N53" s="357">
        <f t="shared" ca="1" si="17"/>
        <v>79.554001461472481</v>
      </c>
      <c r="O53" s="343"/>
      <c r="P53" s="363">
        <f t="shared" ca="1" si="18"/>
        <v>2</v>
      </c>
      <c r="Q53" s="357">
        <f t="shared" ca="1" si="19"/>
        <v>801.16666666666663</v>
      </c>
      <c r="R53" s="359">
        <f t="shared" ca="1" si="20"/>
        <v>0.40206822226648586</v>
      </c>
      <c r="S53" s="360">
        <f t="shared" ca="1" si="21"/>
        <v>9.486863534684673</v>
      </c>
      <c r="T53" s="357">
        <f t="shared" ca="1" si="1"/>
        <v>93.066131275256652</v>
      </c>
      <c r="U53" s="364">
        <f t="shared" ca="1" si="2"/>
        <v>0</v>
      </c>
      <c r="V53" s="359">
        <f t="shared" ca="1" si="3"/>
        <v>1.2239664642374517</v>
      </c>
      <c r="W53" s="357">
        <f t="shared" ca="1" si="4"/>
        <v>3.6725779674107843</v>
      </c>
      <c r="X53" s="343"/>
      <c r="Y53" s="367" t="str">
        <f t="shared" ca="1" si="22"/>
        <v/>
      </c>
      <c r="Z53" s="368" t="str">
        <f t="shared" ca="1" si="23"/>
        <v/>
      </c>
      <c r="AA53" s="369" t="str">
        <f t="shared" ca="1" si="24"/>
        <v/>
      </c>
      <c r="AB53" s="344"/>
      <c r="AC53" s="363" t="e">
        <f t="shared" ca="1" si="25"/>
        <v>#N/A</v>
      </c>
      <c r="AD53" s="376" t="e">
        <f t="shared" ca="1" si="26"/>
        <v>#N/A</v>
      </c>
      <c r="AE53" s="377">
        <f t="shared" ca="1" si="5"/>
        <v>8.4405873060439625</v>
      </c>
      <c r="AF53" s="344"/>
      <c r="AG53" s="359">
        <f t="shared" ca="1" si="27"/>
        <v>74.4303633724261</v>
      </c>
      <c r="AH53" s="357">
        <f t="shared" ca="1" si="28"/>
        <v>84.078640121009997</v>
      </c>
    </row>
    <row r="54" spans="1:34" x14ac:dyDescent="0.25">
      <c r="A54" s="402">
        <f t="shared" ca="1" si="6"/>
        <v>0.01</v>
      </c>
      <c r="B54" s="357">
        <f t="shared" ca="1" si="7"/>
        <v>0.50000000000000022</v>
      </c>
      <c r="C54" s="342"/>
      <c r="D54" s="359">
        <f t="shared" ca="1" si="8"/>
        <v>15.207434483173396</v>
      </c>
      <c r="E54" s="360">
        <f t="shared" ca="1" si="9"/>
        <v>72.675771413264982</v>
      </c>
      <c r="F54" s="357">
        <f t="shared" ca="1" si="10"/>
        <v>74.249806828524171</v>
      </c>
      <c r="G54" s="359">
        <f t="shared" ca="1" si="11"/>
        <v>6.7533770008939351</v>
      </c>
      <c r="H54" s="360">
        <f t="shared" ca="1" si="12"/>
        <v>36.532504075901613</v>
      </c>
      <c r="I54" s="357">
        <f t="shared" ca="1" si="13"/>
        <v>37.151473119810078</v>
      </c>
      <c r="J54" s="359">
        <f t="shared" ca="1" si="14"/>
        <v>1.5740741263478035</v>
      </c>
      <c r="K54" s="360">
        <f t="shared" ca="1" si="15"/>
        <v>8.8022785582323149</v>
      </c>
      <c r="L54" s="357">
        <f t="shared" ca="1" si="0"/>
        <v>8.9419135072955136</v>
      </c>
      <c r="M54" s="359">
        <f t="shared" ca="1" si="16"/>
        <v>1.3880005054435818</v>
      </c>
      <c r="N54" s="357">
        <f t="shared" ca="1" si="17"/>
        <v>79.526570923942288</v>
      </c>
      <c r="O54" s="343"/>
      <c r="P54" s="363">
        <f t="shared" ca="1" si="18"/>
        <v>2</v>
      </c>
      <c r="Q54" s="357">
        <f t="shared" ca="1" si="19"/>
        <v>799.05555555555554</v>
      </c>
      <c r="R54" s="359">
        <f t="shared" ca="1" si="20"/>
        <v>0.40100875396011837</v>
      </c>
      <c r="S54" s="360">
        <f t="shared" ca="1" si="21"/>
        <v>9.4828534471450716</v>
      </c>
      <c r="T54" s="357">
        <f t="shared" ca="1" si="1"/>
        <v>93.026792316493157</v>
      </c>
      <c r="U54" s="364">
        <f t="shared" ca="1" si="2"/>
        <v>0</v>
      </c>
      <c r="V54" s="359">
        <f t="shared" ca="1" si="3"/>
        <v>1.223922195233506</v>
      </c>
      <c r="W54" s="357">
        <f t="shared" ca="1" si="4"/>
        <v>3.8237149262483903</v>
      </c>
      <c r="X54" s="343"/>
      <c r="Y54" s="367" t="str">
        <f t="shared" ca="1" si="22"/>
        <v/>
      </c>
      <c r="Z54" s="368" t="str">
        <f t="shared" ca="1" si="23"/>
        <v/>
      </c>
      <c r="AA54" s="369" t="str">
        <f t="shared" ca="1" si="24"/>
        <v/>
      </c>
      <c r="AB54" s="344"/>
      <c r="AC54" s="363" t="e">
        <f t="shared" ca="1" si="25"/>
        <v>#N/A</v>
      </c>
      <c r="AD54" s="376" t="e">
        <f t="shared" ca="1" si="26"/>
        <v>#N/A</v>
      </c>
      <c r="AE54" s="377">
        <f t="shared" ca="1" si="5"/>
        <v>8.8022785582323149</v>
      </c>
      <c r="AF54" s="344"/>
      <c r="AG54" s="359">
        <f t="shared" ca="1" si="27"/>
        <v>74.228500314077749</v>
      </c>
      <c r="AH54" s="357">
        <f t="shared" ca="1" si="28"/>
        <v>83.875911614726519</v>
      </c>
    </row>
    <row r="55" spans="1:34" x14ac:dyDescent="0.25">
      <c r="A55" s="402">
        <f t="shared" ca="1" si="6"/>
        <v>0.01</v>
      </c>
      <c r="B55" s="357">
        <f t="shared" ca="1" si="7"/>
        <v>0.51000000000000023</v>
      </c>
      <c r="C55" s="342"/>
      <c r="D55" s="359">
        <f t="shared" ca="1" si="8"/>
        <v>15.218904236528347</v>
      </c>
      <c r="E55" s="360">
        <f t="shared" ca="1" si="9"/>
        <v>72.516913035971996</v>
      </c>
      <c r="F55" s="357">
        <f t="shared" ca="1" si="10"/>
        <v>74.096678214528254</v>
      </c>
      <c r="G55" s="359">
        <f t="shared" ca="1" si="11"/>
        <v>6.9055660432592187</v>
      </c>
      <c r="H55" s="360">
        <f t="shared" ca="1" si="12"/>
        <v>37.25767320626133</v>
      </c>
      <c r="I55" s="357">
        <f t="shared" ca="1" si="13"/>
        <v>37.892229482076907</v>
      </c>
      <c r="J55" s="359">
        <f t="shared" ca="1" si="14"/>
        <v>1.6423688415685693</v>
      </c>
      <c r="K55" s="360">
        <f t="shared" ca="1" si="15"/>
        <v>9.1712294446431297</v>
      </c>
      <c r="L55" s="357">
        <f t="shared" ca="1" si="0"/>
        <v>9.3171253580728663</v>
      </c>
      <c r="M55" s="359">
        <f t="shared" ca="1" si="16"/>
        <v>1.3875298925515533</v>
      </c>
      <c r="N55" s="357">
        <f t="shared" ca="1" si="17"/>
        <v>79.499606791444606</v>
      </c>
      <c r="O55" s="343"/>
      <c r="P55" s="363">
        <f t="shared" ca="1" si="18"/>
        <v>3</v>
      </c>
      <c r="Q55" s="357">
        <f t="shared" ca="1" si="19"/>
        <v>797.41</v>
      </c>
      <c r="R55" s="359">
        <f t="shared" ca="1" si="20"/>
        <v>0.40018292629604973</v>
      </c>
      <c r="S55" s="360">
        <f t="shared" ca="1" si="21"/>
        <v>9.4788516178821105</v>
      </c>
      <c r="T55" s="357">
        <f t="shared" ca="1" si="1"/>
        <v>92.987534371423507</v>
      </c>
      <c r="U55" s="364">
        <f t="shared" ca="1" si="2"/>
        <v>0</v>
      </c>
      <c r="V55" s="359">
        <f t="shared" ca="1" si="3"/>
        <v>1.2238770393395249</v>
      </c>
      <c r="W55" s="357">
        <f t="shared" ca="1" si="4"/>
        <v>3.9775690046075418</v>
      </c>
      <c r="X55" s="343"/>
      <c r="Y55" s="367" t="str">
        <f t="shared" ca="1" si="22"/>
        <v/>
      </c>
      <c r="Z55" s="368" t="str">
        <f t="shared" ca="1" si="23"/>
        <v/>
      </c>
      <c r="AA55" s="369" t="str">
        <f t="shared" ca="1" si="24"/>
        <v/>
      </c>
      <c r="AB55" s="344"/>
      <c r="AC55" s="363" t="e">
        <f t="shared" ca="1" si="25"/>
        <v>#N/A</v>
      </c>
      <c r="AD55" s="376" t="e">
        <f t="shared" ca="1" si="26"/>
        <v>#N/A</v>
      </c>
      <c r="AE55" s="377">
        <f t="shared" ca="1" si="5"/>
        <v>9.1712294446431297</v>
      </c>
      <c r="AF55" s="344"/>
      <c r="AG55" s="359">
        <f t="shared" ca="1" si="27"/>
        <v>74.075216614783216</v>
      </c>
      <c r="AH55" s="357">
        <f t="shared" ca="1" si="28"/>
        <v>83.72177528094538</v>
      </c>
    </row>
    <row r="56" spans="1:34" x14ac:dyDescent="0.25">
      <c r="A56" s="402">
        <f t="shared" ca="1" si="6"/>
        <v>0.01</v>
      </c>
      <c r="B56" s="357">
        <f t="shared" ca="1" si="7"/>
        <v>0.52000000000000024</v>
      </c>
      <c r="C56" s="342"/>
      <c r="D56" s="359">
        <f t="shared" ca="1" si="8"/>
        <v>15.238425629518311</v>
      </c>
      <c r="E56" s="360">
        <f t="shared" ca="1" si="9"/>
        <v>72.406038298078528</v>
      </c>
      <c r="F56" s="357">
        <f t="shared" ca="1" si="10"/>
        <v>73.992188761308952</v>
      </c>
      <c r="G56" s="359">
        <f t="shared" ca="1" si="11"/>
        <v>7.0579502995544017</v>
      </c>
      <c r="H56" s="360">
        <f t="shared" ca="1" si="12"/>
        <v>37.981733589242118</v>
      </c>
      <c r="I56" s="357">
        <f t="shared" ca="1" si="13"/>
        <v>38.631939491502919</v>
      </c>
      <c r="J56" s="359">
        <f t="shared" ca="1" si="14"/>
        <v>1.7121864232826374</v>
      </c>
      <c r="K56" s="360">
        <f t="shared" ca="1" si="15"/>
        <v>9.5474264786206469</v>
      </c>
      <c r="L56" s="357">
        <f t="shared" ca="1" si="0"/>
        <v>9.6997388992044549</v>
      </c>
      <c r="M56" s="359">
        <f t="shared" ca="1" si="16"/>
        <v>1.3870671156915388</v>
      </c>
      <c r="N56" s="357">
        <f t="shared" ca="1" si="17"/>
        <v>79.473091630509458</v>
      </c>
      <c r="O56" s="343"/>
      <c r="P56" s="363">
        <f t="shared" ca="1" si="18"/>
        <v>3</v>
      </c>
      <c r="Q56" s="357">
        <f t="shared" ca="1" si="19"/>
        <v>796.23</v>
      </c>
      <c r="R56" s="359">
        <f t="shared" ca="1" si="20"/>
        <v>0.39959073927428013</v>
      </c>
      <c r="S56" s="360">
        <f t="shared" ca="1" si="21"/>
        <v>9.4748557104893685</v>
      </c>
      <c r="T56" s="357">
        <f t="shared" ca="1" si="1"/>
        <v>92.948334519900712</v>
      </c>
      <c r="U56" s="364">
        <f t="shared" ca="1" si="2"/>
        <v>0</v>
      </c>
      <c r="V56" s="359">
        <f t="shared" ca="1" si="3"/>
        <v>1.2238309983042563</v>
      </c>
      <c r="W56" s="357">
        <f t="shared" ca="1" si="4"/>
        <v>4.1342248337433327</v>
      </c>
      <c r="X56" s="343"/>
      <c r="Y56" s="367" t="str">
        <f t="shared" ca="1" si="22"/>
        <v/>
      </c>
      <c r="Z56" s="368" t="str">
        <f t="shared" ca="1" si="23"/>
        <v/>
      </c>
      <c r="AA56" s="369" t="str">
        <f t="shared" ca="1" si="24"/>
        <v/>
      </c>
      <c r="AB56" s="344"/>
      <c r="AC56" s="363" t="e">
        <f t="shared" ca="1" si="25"/>
        <v>#N/A</v>
      </c>
      <c r="AD56" s="376" t="e">
        <f t="shared" ca="1" si="26"/>
        <v>#N/A</v>
      </c>
      <c r="AE56" s="377">
        <f t="shared" ca="1" si="5"/>
        <v>9.5474264786206469</v>
      </c>
      <c r="AF56" s="344"/>
      <c r="AG56" s="359">
        <f t="shared" ca="1" si="27"/>
        <v>73.970587267122056</v>
      </c>
      <c r="AH56" s="357">
        <f t="shared" ca="1" si="28"/>
        <v>83.616305641289102</v>
      </c>
    </row>
    <row r="57" spans="1:34" x14ac:dyDescent="0.25">
      <c r="A57" s="402">
        <f t="shared" ca="1" si="6"/>
        <v>0.01</v>
      </c>
      <c r="B57" s="357">
        <f t="shared" ca="1" si="7"/>
        <v>0.53000000000000025</v>
      </c>
      <c r="C57" s="342"/>
      <c r="D57" s="359">
        <f t="shared" ca="1" si="8"/>
        <v>15.257122813330447</v>
      </c>
      <c r="E57" s="360">
        <f t="shared" ca="1" si="9"/>
        <v>72.294853312845063</v>
      </c>
      <c r="F57" s="357">
        <f t="shared" ca="1" si="10"/>
        <v>73.887249319939045</v>
      </c>
      <c r="G57" s="359">
        <f t="shared" ca="1" si="11"/>
        <v>7.2105215276877059</v>
      </c>
      <c r="H57" s="360">
        <f t="shared" ca="1" si="12"/>
        <v>38.704682122370571</v>
      </c>
      <c r="I57" s="357">
        <f t="shared" ca="1" si="13"/>
        <v>39.37059866061221</v>
      </c>
      <c r="J57" s="359">
        <f t="shared" ca="1" si="14"/>
        <v>1.7835287824188479</v>
      </c>
      <c r="K57" s="360">
        <f t="shared" ca="1" si="15"/>
        <v>9.9308585571787109</v>
      </c>
      <c r="L57" s="357">
        <f t="shared" ca="1" si="0"/>
        <v>10.089743634027878</v>
      </c>
      <c r="M57" s="359">
        <f t="shared" ca="1" si="16"/>
        <v>1.3866118875649318</v>
      </c>
      <c r="N57" s="357">
        <f t="shared" ca="1" si="17"/>
        <v>79.447008980139231</v>
      </c>
      <c r="O57" s="343"/>
      <c r="P57" s="363">
        <f t="shared" ca="1" si="18"/>
        <v>3</v>
      </c>
      <c r="Q57" s="357">
        <f t="shared" ca="1" si="19"/>
        <v>795.05</v>
      </c>
      <c r="R57" s="359">
        <f t="shared" ca="1" si="20"/>
        <v>0.39899855225251041</v>
      </c>
      <c r="S57" s="360">
        <f t="shared" ca="1" si="21"/>
        <v>9.4708657249668438</v>
      </c>
      <c r="T57" s="357">
        <f t="shared" ca="1" si="1"/>
        <v>92.909192761924743</v>
      </c>
      <c r="U57" s="364">
        <f t="shared" ca="1" si="2"/>
        <v>0</v>
      </c>
      <c r="V57" s="359">
        <f t="shared" ca="1" si="3"/>
        <v>1.2237840735864072</v>
      </c>
      <c r="W57" s="357">
        <f t="shared" ca="1" si="4"/>
        <v>4.2936679179472907</v>
      </c>
      <c r="X57" s="343"/>
      <c r="Y57" s="367" t="str">
        <f t="shared" ca="1" si="22"/>
        <v/>
      </c>
      <c r="Z57" s="368" t="str">
        <f t="shared" ca="1" si="23"/>
        <v/>
      </c>
      <c r="AA57" s="369" t="str">
        <f t="shared" ca="1" si="24"/>
        <v/>
      </c>
      <c r="AB57" s="344"/>
      <c r="AC57" s="363" t="e">
        <f t="shared" ca="1" si="25"/>
        <v>#N/A</v>
      </c>
      <c r="AD57" s="376" t="e">
        <f t="shared" ca="1" si="26"/>
        <v>#N/A</v>
      </c>
      <c r="AE57" s="377">
        <f t="shared" ca="1" si="5"/>
        <v>9.9308585571787109</v>
      </c>
      <c r="AF57" s="344"/>
      <c r="AG57" s="359">
        <f t="shared" ca="1" si="27"/>
        <v>73.865508967266436</v>
      </c>
      <c r="AH57" s="357">
        <f t="shared" ca="1" si="28"/>
        <v>83.510398957643915</v>
      </c>
    </row>
    <row r="58" spans="1:34" x14ac:dyDescent="0.25">
      <c r="A58" s="402">
        <f t="shared" ca="1" si="6"/>
        <v>0.01</v>
      </c>
      <c r="B58" s="357">
        <f t="shared" ca="1" si="7"/>
        <v>0.54000000000000026</v>
      </c>
      <c r="C58" s="342"/>
      <c r="D58" s="359">
        <f t="shared" ca="1" si="8"/>
        <v>15.275021581609279</v>
      </c>
      <c r="E58" s="360">
        <f t="shared" ca="1" si="9"/>
        <v>72.183355467885235</v>
      </c>
      <c r="F58" s="357">
        <f t="shared" ca="1" si="10"/>
        <v>73.781861530607287</v>
      </c>
      <c r="G58" s="359">
        <f t="shared" ca="1" si="11"/>
        <v>7.3632717435037991</v>
      </c>
      <c r="H58" s="360">
        <f t="shared" ca="1" si="12"/>
        <v>39.426515677049423</v>
      </c>
      <c r="I58" s="357">
        <f t="shared" ca="1" si="13"/>
        <v>40.108202517705841</v>
      </c>
      <c r="J58" s="359">
        <f t="shared" ca="1" si="14"/>
        <v>1.8563977487748056</v>
      </c>
      <c r="K58" s="360">
        <f t="shared" ca="1" si="15"/>
        <v>10.321514546175811</v>
      </c>
      <c r="L58" s="357">
        <f t="shared" ca="1" si="0"/>
        <v>10.487129022214566</v>
      </c>
      <c r="M58" s="359">
        <f t="shared" ca="1" si="16"/>
        <v>1.3861639365943295</v>
      </c>
      <c r="N58" s="357">
        <f t="shared" ca="1" si="17"/>
        <v>79.421343280094931</v>
      </c>
      <c r="O58" s="343"/>
      <c r="P58" s="363">
        <f t="shared" ca="1" si="18"/>
        <v>3</v>
      </c>
      <c r="Q58" s="357">
        <f t="shared" ca="1" si="19"/>
        <v>793.87</v>
      </c>
      <c r="R58" s="359">
        <f t="shared" ca="1" si="20"/>
        <v>0.3984063652307408</v>
      </c>
      <c r="S58" s="360">
        <f t="shared" ca="1" si="21"/>
        <v>9.4668816613145363</v>
      </c>
      <c r="T58" s="357">
        <f t="shared" ca="1" si="1"/>
        <v>92.8701090974956</v>
      </c>
      <c r="U58" s="364">
        <f t="shared" ca="1" si="2"/>
        <v>0</v>
      </c>
      <c r="V58" s="359">
        <f t="shared" ca="1" si="3"/>
        <v>1.2237362666502012</v>
      </c>
      <c r="W58" s="357">
        <f t="shared" ca="1" si="4"/>
        <v>4.4558837006017527</v>
      </c>
      <c r="X58" s="343"/>
      <c r="Y58" s="367" t="str">
        <f t="shared" ca="1" si="22"/>
        <v/>
      </c>
      <c r="Z58" s="368" t="str">
        <f t="shared" ca="1" si="23"/>
        <v/>
      </c>
      <c r="AA58" s="369" t="str">
        <f t="shared" ca="1" si="24"/>
        <v/>
      </c>
      <c r="AB58" s="344"/>
      <c r="AC58" s="363" t="e">
        <f t="shared" ca="1" si="25"/>
        <v>#N/A</v>
      </c>
      <c r="AD58" s="376" t="e">
        <f t="shared" ca="1" si="26"/>
        <v>#N/A</v>
      </c>
      <c r="AE58" s="377">
        <f t="shared" ca="1" si="5"/>
        <v>10.321514546175811</v>
      </c>
      <c r="AF58" s="344"/>
      <c r="AG58" s="359">
        <f t="shared" ca="1" si="27"/>
        <v>73.759983303629781</v>
      </c>
      <c r="AH58" s="357">
        <f t="shared" ca="1" si="28"/>
        <v>83.40405640735716</v>
      </c>
    </row>
    <row r="59" spans="1:34" x14ac:dyDescent="0.25">
      <c r="A59" s="402">
        <f t="shared" ca="1" si="6"/>
        <v>0.01</v>
      </c>
      <c r="B59" s="357">
        <f t="shared" ca="1" si="7"/>
        <v>0.55000000000000027</v>
      </c>
      <c r="C59" s="342"/>
      <c r="D59" s="359">
        <f t="shared" ca="1" si="8"/>
        <v>15.29214633366152</v>
      </c>
      <c r="E59" s="360">
        <f t="shared" ca="1" si="9"/>
        <v>72.07154235809088</v>
      </c>
      <c r="F59" s="357">
        <f t="shared" ca="1" si="10"/>
        <v>73.676027019405751</v>
      </c>
      <c r="G59" s="359">
        <f t="shared" ca="1" si="11"/>
        <v>7.5161932068404145</v>
      </c>
      <c r="H59" s="360">
        <f t="shared" ca="1" si="12"/>
        <v>40.147231100630329</v>
      </c>
      <c r="I59" s="357">
        <f t="shared" ca="1" si="13"/>
        <v>40.844746606754377</v>
      </c>
      <c r="J59" s="359">
        <f t="shared" ca="1" si="14"/>
        <v>1.9307950735265267</v>
      </c>
      <c r="K59" s="360">
        <f t="shared" ca="1" si="15"/>
        <v>10.719383280064211</v>
      </c>
      <c r="L59" s="357">
        <f t="shared" ca="1" si="0"/>
        <v>10.891884479780092</v>
      </c>
      <c r="M59" s="359">
        <f t="shared" ca="1" si="16"/>
        <v>1.3857230057858196</v>
      </c>
      <c r="N59" s="357">
        <f t="shared" ca="1" si="17"/>
        <v>79.396079805710016</v>
      </c>
      <c r="O59" s="343"/>
      <c r="P59" s="363">
        <f t="shared" ca="1" si="18"/>
        <v>3</v>
      </c>
      <c r="Q59" s="357">
        <f t="shared" ca="1" si="19"/>
        <v>792.68999999999994</v>
      </c>
      <c r="R59" s="359">
        <f t="shared" ca="1" si="20"/>
        <v>0.39781417820897108</v>
      </c>
      <c r="S59" s="360">
        <f t="shared" ca="1" si="21"/>
        <v>9.4629035195324462</v>
      </c>
      <c r="T59" s="357">
        <f t="shared" ca="1" si="1"/>
        <v>92.831083526613298</v>
      </c>
      <c r="U59" s="364">
        <f t="shared" ca="1" si="2"/>
        <v>0</v>
      </c>
      <c r="V59" s="359">
        <f t="shared" ca="1" si="3"/>
        <v>1.2236875789653969</v>
      </c>
      <c r="W59" s="357">
        <f t="shared" ca="1" si="4"/>
        <v>4.6208575648864549</v>
      </c>
      <c r="X59" s="343"/>
      <c r="Y59" s="367" t="str">
        <f t="shared" ca="1" si="22"/>
        <v/>
      </c>
      <c r="Z59" s="368" t="str">
        <f t="shared" ca="1" si="23"/>
        <v/>
      </c>
      <c r="AA59" s="369" t="str">
        <f t="shared" ca="1" si="24"/>
        <v/>
      </c>
      <c r="AB59" s="344"/>
      <c r="AC59" s="363" t="e">
        <f t="shared" ca="1" si="25"/>
        <v>#N/A</v>
      </c>
      <c r="AD59" s="376" t="e">
        <f t="shared" ca="1" si="26"/>
        <v>#N/A</v>
      </c>
      <c r="AE59" s="377">
        <f t="shared" ca="1" si="5"/>
        <v>10.719383280064211</v>
      </c>
      <c r="AF59" s="344"/>
      <c r="AG59" s="359">
        <f t="shared" ca="1" si="27"/>
        <v>73.654011853123322</v>
      </c>
      <c r="AH59" s="357">
        <f t="shared" ca="1" si="28"/>
        <v>83.297279177833587</v>
      </c>
    </row>
    <row r="60" spans="1:34" x14ac:dyDescent="0.25">
      <c r="A60" s="402">
        <f t="shared" ca="1" si="6"/>
        <v>0.01</v>
      </c>
      <c r="B60" s="357">
        <f t="shared" ca="1" si="7"/>
        <v>0.56000000000000028</v>
      </c>
      <c r="C60" s="342"/>
      <c r="D60" s="359">
        <f t="shared" ca="1" si="8"/>
        <v>15.308520175294822</v>
      </c>
      <c r="E60" s="360">
        <f t="shared" ca="1" si="9"/>
        <v>71.959411771757871</v>
      </c>
      <c r="F60" s="357">
        <f t="shared" ca="1" si="10"/>
        <v>73.569747399966076</v>
      </c>
      <c r="G60" s="359">
        <f t="shared" ca="1" si="11"/>
        <v>7.669278408593363</v>
      </c>
      <c r="H60" s="360">
        <f t="shared" ca="1" si="12"/>
        <v>40.866825218347905</v>
      </c>
      <c r="I60" s="357">
        <f t="shared" ca="1" si="13"/>
        <v>41.580226487304188</v>
      </c>
      <c r="J60" s="359">
        <f t="shared" ca="1" si="14"/>
        <v>2.0067224316036958</v>
      </c>
      <c r="K60" s="360">
        <f t="shared" ca="1" si="15"/>
        <v>11.124453561659102</v>
      </c>
      <c r="L60" s="357">
        <f t="shared" ca="1" si="0"/>
        <v>11.303999379114073</v>
      </c>
      <c r="M60" s="359">
        <f t="shared" ca="1" si="16"/>
        <v>1.3852888516929309</v>
      </c>
      <c r="N60" s="357">
        <f t="shared" ca="1" si="17"/>
        <v>79.371204608529169</v>
      </c>
      <c r="O60" s="343"/>
      <c r="P60" s="363">
        <f t="shared" ca="1" si="18"/>
        <v>3</v>
      </c>
      <c r="Q60" s="357">
        <f t="shared" ca="1" si="19"/>
        <v>791.51</v>
      </c>
      <c r="R60" s="359">
        <f t="shared" ca="1" si="20"/>
        <v>0.39722199118720147</v>
      </c>
      <c r="S60" s="360">
        <f t="shared" ca="1" si="21"/>
        <v>9.4589312996205734</v>
      </c>
      <c r="T60" s="357">
        <f t="shared" ca="1" si="1"/>
        <v>92.792116049277837</v>
      </c>
      <c r="U60" s="364">
        <f t="shared" ca="1" si="2"/>
        <v>0</v>
      </c>
      <c r="V60" s="359">
        <f t="shared" ca="1" si="3"/>
        <v>1.2236380120073054</v>
      </c>
      <c r="W60" s="357">
        <f t="shared" ca="1" si="4"/>
        <v>4.7885748344856873</v>
      </c>
      <c r="X60" s="343"/>
      <c r="Y60" s="367" t="str">
        <f t="shared" ca="1" si="22"/>
        <v/>
      </c>
      <c r="Z60" s="368" t="str">
        <f t="shared" ca="1" si="23"/>
        <v/>
      </c>
      <c r="AA60" s="369" t="str">
        <f t="shared" ca="1" si="24"/>
        <v/>
      </c>
      <c r="AB60" s="344"/>
      <c r="AC60" s="363" t="e">
        <f t="shared" ca="1" si="25"/>
        <v>#N/A</v>
      </c>
      <c r="AD60" s="376" t="e">
        <f t="shared" ca="1" si="26"/>
        <v>#N/A</v>
      </c>
      <c r="AE60" s="377">
        <f t="shared" ca="1" si="5"/>
        <v>11.124453561659102</v>
      </c>
      <c r="AF60" s="344"/>
      <c r="AG60" s="359">
        <f t="shared" ca="1" si="27"/>
        <v>73.547596182607833</v>
      </c>
      <c r="AH60" s="357">
        <f t="shared" ca="1" si="28"/>
        <v>83.190068466474429</v>
      </c>
    </row>
    <row r="61" spans="1:34" x14ac:dyDescent="0.25">
      <c r="A61" s="402">
        <f t="shared" ca="1" si="6"/>
        <v>0.01</v>
      </c>
      <c r="B61" s="357">
        <f t="shared" ca="1" si="7"/>
        <v>0.57000000000000028</v>
      </c>
      <c r="C61" s="342"/>
      <c r="D61" s="359">
        <f t="shared" ca="1" si="8"/>
        <v>15.324165010659783</v>
      </c>
      <c r="E61" s="360">
        <f t="shared" ca="1" si="9"/>
        <v>71.846961677913313</v>
      </c>
      <c r="F61" s="357">
        <f t="shared" ca="1" si="10"/>
        <v>73.463024274947159</v>
      </c>
      <c r="G61" s="359">
        <f t="shared" ca="1" si="11"/>
        <v>7.8225200586999604</v>
      </c>
      <c r="H61" s="360">
        <f t="shared" ca="1" si="12"/>
        <v>41.585294835127037</v>
      </c>
      <c r="I61" s="357">
        <f t="shared" ca="1" si="13"/>
        <v>42.314637734396435</v>
      </c>
      <c r="J61" s="359">
        <f t="shared" ca="1" si="14"/>
        <v>2.0841814239401626</v>
      </c>
      <c r="K61" s="360">
        <f t="shared" ca="1" si="15"/>
        <v>11.536714161926477</v>
      </c>
      <c r="L61" s="357">
        <f t="shared" ca="1" si="0"/>
        <v>11.723463049026604</v>
      </c>
      <c r="M61" s="359">
        <f t="shared" ca="1" si="16"/>
        <v>1.3848612434714918</v>
      </c>
      <c r="N61" s="357">
        <f t="shared" ca="1" si="17"/>
        <v>79.346704462155614</v>
      </c>
      <c r="O61" s="343"/>
      <c r="P61" s="363">
        <f t="shared" ca="1" si="18"/>
        <v>3</v>
      </c>
      <c r="Q61" s="357">
        <f t="shared" ca="1" si="19"/>
        <v>790.32999999999993</v>
      </c>
      <c r="R61" s="359">
        <f t="shared" ca="1" si="20"/>
        <v>0.39662980416543181</v>
      </c>
      <c r="S61" s="360">
        <f t="shared" ca="1" si="21"/>
        <v>9.4549650015789197</v>
      </c>
      <c r="T61" s="357">
        <f t="shared" ca="1" si="1"/>
        <v>92.753206665489202</v>
      </c>
      <c r="U61" s="364">
        <f t="shared" ca="1" si="2"/>
        <v>0</v>
      </c>
      <c r="V61" s="359">
        <f t="shared" ca="1" si="3"/>
        <v>1.2235875672568055</v>
      </c>
      <c r="W61" s="357">
        <f t="shared" ca="1" si="4"/>
        <v>4.9590207742961034</v>
      </c>
      <c r="X61" s="343"/>
      <c r="Y61" s="367" t="str">
        <f t="shared" ca="1" si="22"/>
        <v/>
      </c>
      <c r="Z61" s="368" t="str">
        <f t="shared" ca="1" si="23"/>
        <v/>
      </c>
      <c r="AA61" s="369" t="str">
        <f t="shared" ca="1" si="24"/>
        <v/>
      </c>
      <c r="AB61" s="344"/>
      <c r="AC61" s="363" t="e">
        <f t="shared" ca="1" si="25"/>
        <v>#N/A</v>
      </c>
      <c r="AD61" s="376" t="e">
        <f t="shared" ca="1" si="26"/>
        <v>#N/A</v>
      </c>
      <c r="AE61" s="377">
        <f t="shared" ca="1" si="5"/>
        <v>11.536714161926477</v>
      </c>
      <c r="AF61" s="344"/>
      <c r="AG61" s="359">
        <f t="shared" ca="1" si="27"/>
        <v>73.44073785021321</v>
      </c>
      <c r="AH61" s="357">
        <f t="shared" ca="1" si="28"/>
        <v>83.082425480616138</v>
      </c>
    </row>
    <row r="62" spans="1:34" x14ac:dyDescent="0.25">
      <c r="A62" s="402">
        <f t="shared" ca="1" si="6"/>
        <v>0.01</v>
      </c>
      <c r="B62" s="357">
        <f t="shared" ca="1" si="7"/>
        <v>0.58000000000000029</v>
      </c>
      <c r="C62" s="342"/>
      <c r="D62" s="359">
        <f t="shared" ca="1" si="8"/>
        <v>15.339101626045814</v>
      </c>
      <c r="E62" s="360">
        <f t="shared" ca="1" si="9"/>
        <v>71.734190214719916</v>
      </c>
      <c r="F62" s="357">
        <f t="shared" ca="1" si="10"/>
        <v>73.355859237390035</v>
      </c>
      <c r="G62" s="359">
        <f t="shared" ca="1" si="11"/>
        <v>7.9759110749604183</v>
      </c>
      <c r="H62" s="360">
        <f t="shared" ca="1" si="12"/>
        <v>42.302636737274234</v>
      </c>
      <c r="I62" s="357">
        <f t="shared" ca="1" si="13"/>
        <v>43.047975938497501</v>
      </c>
      <c r="J62" s="359">
        <f t="shared" ca="1" si="14"/>
        <v>2.1631735796084643</v>
      </c>
      <c r="K62" s="360">
        <f t="shared" ca="1" si="15"/>
        <v>11.956153819788485</v>
      </c>
      <c r="L62" s="357">
        <f t="shared" ca="1" si="0"/>
        <v>12.150264774808774</v>
      </c>
      <c r="M62" s="359">
        <f t="shared" ca="1" si="16"/>
        <v>1.3844399620159624</v>
      </c>
      <c r="N62" s="357">
        <f t="shared" ca="1" si="17"/>
        <v>79.322566812766652</v>
      </c>
      <c r="O62" s="343"/>
      <c r="P62" s="363">
        <f t="shared" ca="1" si="18"/>
        <v>3</v>
      </c>
      <c r="Q62" s="357">
        <f t="shared" ca="1" si="19"/>
        <v>789.15</v>
      </c>
      <c r="R62" s="359">
        <f t="shared" ca="1" si="20"/>
        <v>0.39603761714366215</v>
      </c>
      <c r="S62" s="360">
        <f t="shared" ca="1" si="21"/>
        <v>9.4510046254074833</v>
      </c>
      <c r="T62" s="357">
        <f t="shared" ca="1" si="1"/>
        <v>92.714355375247422</v>
      </c>
      <c r="U62" s="364">
        <f t="shared" ca="1" si="2"/>
        <v>0</v>
      </c>
      <c r="V62" s="359">
        <f t="shared" ca="1" si="3"/>
        <v>1.2235362462003552</v>
      </c>
      <c r="W62" s="357">
        <f t="shared" ca="1" si="4"/>
        <v>5.1321805911352598</v>
      </c>
      <c r="X62" s="343"/>
      <c r="Y62" s="367" t="str">
        <f t="shared" ca="1" si="22"/>
        <v/>
      </c>
      <c r="Z62" s="368" t="str">
        <f t="shared" ca="1" si="23"/>
        <v/>
      </c>
      <c r="AA62" s="369" t="str">
        <f t="shared" ca="1" si="24"/>
        <v/>
      </c>
      <c r="AB62" s="344"/>
      <c r="AC62" s="363" t="e">
        <f t="shared" ca="1" si="25"/>
        <v>#N/A</v>
      </c>
      <c r="AD62" s="376" t="e">
        <f t="shared" ca="1" si="26"/>
        <v>#N/A</v>
      </c>
      <c r="AE62" s="377">
        <f t="shared" ca="1" si="5"/>
        <v>11.956153819788485</v>
      </c>
      <c r="AF62" s="344"/>
      <c r="AG62" s="359">
        <f t="shared" ca="1" si="27"/>
        <v>73.3334384065395</v>
      </c>
      <c r="AH62" s="357">
        <f t="shared" ca="1" si="28"/>
        <v>82.974351437468826</v>
      </c>
    </row>
    <row r="63" spans="1:34" x14ac:dyDescent="0.25">
      <c r="A63" s="402">
        <f t="shared" ca="1" si="6"/>
        <v>0.01</v>
      </c>
      <c r="B63" s="357">
        <f t="shared" ca="1" si="7"/>
        <v>0.5900000000000003</v>
      </c>
      <c r="C63" s="342"/>
      <c r="D63" s="359">
        <f t="shared" ca="1" si="8"/>
        <v>15.353349766465026</v>
      </c>
      <c r="E63" s="360">
        <f t="shared" ca="1" si="9"/>
        <v>71.621095678847837</v>
      </c>
      <c r="F63" s="357">
        <f t="shared" ca="1" si="10"/>
        <v>73.248253871953068</v>
      </c>
      <c r="G63" s="359">
        <f t="shared" ca="1" si="11"/>
        <v>8.1294445726250686</v>
      </c>
      <c r="H63" s="360">
        <f t="shared" ca="1" si="12"/>
        <v>43.018847694062714</v>
      </c>
      <c r="I63" s="357">
        <f t="shared" ca="1" si="13"/>
        <v>43.780236705439911</v>
      </c>
      <c r="J63" s="359">
        <f t="shared" ca="1" si="14"/>
        <v>2.2437003578463917</v>
      </c>
      <c r="K63" s="360">
        <f t="shared" ca="1" si="15"/>
        <v>12.38276124194517</v>
      </c>
      <c r="L63" s="357">
        <f t="shared" ca="1" si="0"/>
        <v>12.584393798305086</v>
      </c>
      <c r="M63" s="359">
        <f t="shared" ca="1" si="16"/>
        <v>1.3840247991689185</v>
      </c>
      <c r="N63" s="357">
        <f t="shared" ca="1" si="17"/>
        <v>79.298779733820396</v>
      </c>
      <c r="O63" s="343"/>
      <c r="P63" s="363">
        <f t="shared" ca="1" si="18"/>
        <v>3</v>
      </c>
      <c r="Q63" s="357">
        <f t="shared" ca="1" si="19"/>
        <v>787.96999999999991</v>
      </c>
      <c r="R63" s="359">
        <f t="shared" ca="1" si="20"/>
        <v>0.39544543012189248</v>
      </c>
      <c r="S63" s="360">
        <f t="shared" ca="1" si="21"/>
        <v>9.4470501711062642</v>
      </c>
      <c r="T63" s="357">
        <f t="shared" ca="1" si="1"/>
        <v>92.675562178552454</v>
      </c>
      <c r="U63" s="364">
        <f t="shared" ca="1" si="2"/>
        <v>0</v>
      </c>
      <c r="V63" s="359">
        <f t="shared" ca="1" si="3"/>
        <v>1.2234840503300028</v>
      </c>
      <c r="W63" s="357">
        <f t="shared" ca="1" si="4"/>
        <v>5.3080394344509543</v>
      </c>
      <c r="X63" s="343"/>
      <c r="Y63" s="367" t="str">
        <f t="shared" ca="1" si="22"/>
        <v/>
      </c>
      <c r="Z63" s="368" t="str">
        <f t="shared" ca="1" si="23"/>
        <v/>
      </c>
      <c r="AA63" s="369" t="str">
        <f t="shared" ca="1" si="24"/>
        <v/>
      </c>
      <c r="AB63" s="344"/>
      <c r="AC63" s="363" t="e">
        <f t="shared" ca="1" si="25"/>
        <v>#N/A</v>
      </c>
      <c r="AD63" s="376" t="e">
        <f t="shared" ca="1" si="26"/>
        <v>#N/A</v>
      </c>
      <c r="AE63" s="377">
        <f t="shared" ca="1" si="5"/>
        <v>12.38276124194517</v>
      </c>
      <c r="AF63" s="344"/>
      <c r="AG63" s="359">
        <f t="shared" ca="1" si="27"/>
        <v>73.225699395751249</v>
      </c>
      <c r="AH63" s="357">
        <f t="shared" ca="1" si="28"/>
        <v>82.865847564054292</v>
      </c>
    </row>
    <row r="64" spans="1:34" x14ac:dyDescent="0.25">
      <c r="A64" s="402">
        <f t="shared" ca="1" si="6"/>
        <v>0.01</v>
      </c>
      <c r="B64" s="357">
        <f t="shared" ca="1" si="7"/>
        <v>0.60000000000000031</v>
      </c>
      <c r="C64" s="342"/>
      <c r="D64" s="359">
        <f t="shared" ca="1" si="8"/>
        <v>15.366928205759912</v>
      </c>
      <c r="E64" s="360">
        <f t="shared" ca="1" si="9"/>
        <v>71.507676515717677</v>
      </c>
      <c r="F64" s="357">
        <f t="shared" ca="1" si="10"/>
        <v>73.140209756039809</v>
      </c>
      <c r="G64" s="359">
        <f t="shared" ca="1" si="11"/>
        <v>8.2831138546826679</v>
      </c>
      <c r="H64" s="360">
        <f t="shared" ca="1" si="12"/>
        <v>43.733924459219892</v>
      </c>
      <c r="I64" s="357">
        <f t="shared" ca="1" si="13"/>
        <v>44.511415656372783</v>
      </c>
      <c r="J64" s="359">
        <f t="shared" ca="1" si="14"/>
        <v>2.3257631499829303</v>
      </c>
      <c r="K64" s="360">
        <f t="shared" ca="1" si="15"/>
        <v>12.816525102711584</v>
      </c>
      <c r="L64" s="357">
        <f t="shared" ca="1" si="0"/>
        <v>13.02583931799616</v>
      </c>
      <c r="M64" s="359">
        <f t="shared" ca="1" si="16"/>
        <v>1.3836155569963511</v>
      </c>
      <c r="N64" s="357">
        <f t="shared" ca="1" si="17"/>
        <v>79.275331884533514</v>
      </c>
      <c r="O64" s="343"/>
      <c r="P64" s="363">
        <f t="shared" ca="1" si="18"/>
        <v>3</v>
      </c>
      <c r="Q64" s="357">
        <f t="shared" ca="1" si="19"/>
        <v>786.79</v>
      </c>
      <c r="R64" s="359">
        <f t="shared" ca="1" si="20"/>
        <v>0.39485324310012287</v>
      </c>
      <c r="S64" s="360">
        <f t="shared" ca="1" si="21"/>
        <v>9.4431016386752624</v>
      </c>
      <c r="T64" s="357">
        <f t="shared" ca="1" si="1"/>
        <v>92.636827075404327</v>
      </c>
      <c r="U64" s="364">
        <f t="shared" ca="1" si="2"/>
        <v>0</v>
      </c>
      <c r="V64" s="359">
        <f t="shared" ca="1" si="3"/>
        <v>1.2234309811433959</v>
      </c>
      <c r="W64" s="357">
        <f t="shared" ca="1" si="4"/>
        <v>5.4865823970314045</v>
      </c>
      <c r="X64" s="343"/>
      <c r="Y64" s="367" t="str">
        <f t="shared" ca="1" si="22"/>
        <v/>
      </c>
      <c r="Z64" s="368" t="str">
        <f t="shared" ca="1" si="23"/>
        <v/>
      </c>
      <c r="AA64" s="369" t="str">
        <f t="shared" ca="1" si="24"/>
        <v/>
      </c>
      <c r="AB64" s="344"/>
      <c r="AC64" s="363" t="e">
        <f t="shared" ca="1" si="25"/>
        <v>#N/A</v>
      </c>
      <c r="AD64" s="376" t="e">
        <f t="shared" ca="1" si="26"/>
        <v>#N/A</v>
      </c>
      <c r="AE64" s="377">
        <f t="shared" ca="1" si="5"/>
        <v>12.816525102711584</v>
      </c>
      <c r="AF64" s="344"/>
      <c r="AG64" s="359">
        <f t="shared" ca="1" si="27"/>
        <v>73.117522356576131</v>
      </c>
      <c r="AH64" s="357">
        <f t="shared" ca="1" si="28"/>
        <v>82.756915097143889</v>
      </c>
    </row>
    <row r="65" spans="1:34" x14ac:dyDescent="0.25">
      <c r="A65" s="402">
        <f t="shared" ca="1" si="6"/>
        <v>0.01</v>
      </c>
      <c r="B65" s="357">
        <f t="shared" ca="1" si="7"/>
        <v>0.61000000000000032</v>
      </c>
      <c r="C65" s="342"/>
      <c r="D65" s="359">
        <f t="shared" ca="1" si="8"/>
        <v>15.379854810883309</v>
      </c>
      <c r="E65" s="360">
        <f t="shared" ca="1" si="9"/>
        <v>71.3939313105287</v>
      </c>
      <c r="F65" s="357">
        <f t="shared" ca="1" si="10"/>
        <v>73.031728460829555</v>
      </c>
      <c r="G65" s="359">
        <f t="shared" ca="1" si="11"/>
        <v>8.436912402791501</v>
      </c>
      <c r="H65" s="360">
        <f t="shared" ca="1" si="12"/>
        <v>44.447863772325178</v>
      </c>
      <c r="I65" s="357">
        <f t="shared" ca="1" si="13"/>
        <v>45.241508427721044</v>
      </c>
      <c r="J65" s="359">
        <f t="shared" ca="1" si="14"/>
        <v>2.4093632812703012</v>
      </c>
      <c r="K65" s="360">
        <f t="shared" ca="1" si="15"/>
        <v>13.25743404386931</v>
      </c>
      <c r="L65" s="357">
        <f t="shared" ca="1" si="0"/>
        <v>13.474590489090144</v>
      </c>
      <c r="M65" s="359">
        <f t="shared" ca="1" si="16"/>
        <v>1.3832120471222908</v>
      </c>
      <c r="N65" s="357">
        <f t="shared" ca="1" si="17"/>
        <v>79.252212471758014</v>
      </c>
      <c r="O65" s="343"/>
      <c r="P65" s="363">
        <f t="shared" ca="1" si="18"/>
        <v>3</v>
      </c>
      <c r="Q65" s="357">
        <f t="shared" ca="1" si="19"/>
        <v>785.61</v>
      </c>
      <c r="R65" s="359">
        <f t="shared" ca="1" si="20"/>
        <v>0.39426105607835321</v>
      </c>
      <c r="S65" s="360">
        <f t="shared" ca="1" si="21"/>
        <v>9.4391590281144797</v>
      </c>
      <c r="T65" s="357">
        <f t="shared" ca="1" si="1"/>
        <v>92.598150065803054</v>
      </c>
      <c r="U65" s="364">
        <f t="shared" ca="1" si="2"/>
        <v>0</v>
      </c>
      <c r="V65" s="359">
        <f t="shared" ca="1" si="3"/>
        <v>1.2233770401437885</v>
      </c>
      <c r="W65" s="357">
        <f t="shared" ca="1" si="4"/>
        <v>5.6677945157163281</v>
      </c>
      <c r="X65" s="343"/>
      <c r="Y65" s="367" t="str">
        <f t="shared" ca="1" si="22"/>
        <v/>
      </c>
      <c r="Z65" s="368" t="str">
        <f t="shared" ca="1" si="23"/>
        <v/>
      </c>
      <c r="AA65" s="369" t="str">
        <f t="shared" ca="1" si="24"/>
        <v/>
      </c>
      <c r="AB65" s="344"/>
      <c r="AC65" s="363" t="e">
        <f t="shared" ca="1" si="25"/>
        <v>#N/A</v>
      </c>
      <c r="AD65" s="376" t="e">
        <f t="shared" ca="1" si="26"/>
        <v>#N/A</v>
      </c>
      <c r="AE65" s="377">
        <f t="shared" ca="1" si="5"/>
        <v>13.25743404386931</v>
      </c>
      <c r="AF65" s="344"/>
      <c r="AG65" s="359">
        <f t="shared" ca="1" si="27"/>
        <v>73.008908823216942</v>
      </c>
      <c r="AH65" s="357">
        <f t="shared" ca="1" si="28"/>
        <v>82.647555283195842</v>
      </c>
    </row>
    <row r="66" spans="1:34" x14ac:dyDescent="0.25">
      <c r="A66" s="402">
        <f t="shared" ca="1" si="6"/>
        <v>0.01</v>
      </c>
      <c r="B66" s="357">
        <f t="shared" ca="1" si="7"/>
        <v>0.62000000000000033</v>
      </c>
      <c r="C66" s="342"/>
      <c r="D66" s="359">
        <f t="shared" ca="1" si="8"/>
        <v>15.392146600924864</v>
      </c>
      <c r="E66" s="360">
        <f t="shared" ca="1" si="9"/>
        <v>71.279858779996772</v>
      </c>
      <c r="F66" s="357">
        <f t="shared" ca="1" si="10"/>
        <v>72.922811552220381</v>
      </c>
      <c r="G66" s="359">
        <f t="shared" ca="1" si="11"/>
        <v>8.5908338688007504</v>
      </c>
      <c r="H66" s="360">
        <f t="shared" ca="1" si="12"/>
        <v>45.160662360125144</v>
      </c>
      <c r="I66" s="357">
        <f t="shared" ca="1" si="13"/>
        <v>45.970510671152631</v>
      </c>
      <c r="J66" s="359">
        <f t="shared" ca="1" si="14"/>
        <v>2.4945020126282627</v>
      </c>
      <c r="K66" s="360">
        <f t="shared" ca="1" si="15"/>
        <v>13.705476674531562</v>
      </c>
      <c r="L66" s="357">
        <f t="shared" ca="1" si="0"/>
        <v>13.930636423621685</v>
      </c>
      <c r="M66" s="359">
        <f t="shared" ca="1" si="16"/>
        <v>1.3828140901169994</v>
      </c>
      <c r="N66" s="357">
        <f t="shared" ca="1" si="17"/>
        <v>79.229411214927154</v>
      </c>
      <c r="O66" s="343"/>
      <c r="P66" s="363">
        <f t="shared" ca="1" si="18"/>
        <v>3</v>
      </c>
      <c r="Q66" s="357">
        <f t="shared" ca="1" si="19"/>
        <v>784.43</v>
      </c>
      <c r="R66" s="359">
        <f t="shared" ca="1" si="20"/>
        <v>0.39366886905658355</v>
      </c>
      <c r="S66" s="360">
        <f t="shared" ca="1" si="21"/>
        <v>9.4352223394239143</v>
      </c>
      <c r="T66" s="357">
        <f t="shared" ca="1" si="1"/>
        <v>92.559531149748608</v>
      </c>
      <c r="U66" s="364">
        <f t="shared" ca="1" si="2"/>
        <v>0</v>
      </c>
      <c r="V66" s="359">
        <f t="shared" ca="1" si="3"/>
        <v>1.2233222288400449</v>
      </c>
      <c r="W66" s="357">
        <f t="shared" ca="1" si="4"/>
        <v>5.8516607721089393</v>
      </c>
      <c r="X66" s="343"/>
      <c r="Y66" s="367" t="str">
        <f t="shared" ca="1" si="22"/>
        <v/>
      </c>
      <c r="Z66" s="368" t="str">
        <f t="shared" ca="1" si="23"/>
        <v/>
      </c>
      <c r="AA66" s="369" t="str">
        <f t="shared" ca="1" si="24"/>
        <v/>
      </c>
      <c r="AB66" s="344"/>
      <c r="AC66" s="363" t="e">
        <f t="shared" ca="1" si="25"/>
        <v>#N/A</v>
      </c>
      <c r="AD66" s="376" t="e">
        <f t="shared" ca="1" si="26"/>
        <v>#N/A</v>
      </c>
      <c r="AE66" s="377">
        <f t="shared" ca="1" si="5"/>
        <v>13.705476674531562</v>
      </c>
      <c r="AF66" s="344"/>
      <c r="AG66" s="359">
        <f t="shared" ca="1" si="27"/>
        <v>72.899860326185362</v>
      </c>
      <c r="AH66" s="357">
        <f t="shared" ca="1" si="28"/>
        <v>82.53776937829241</v>
      </c>
    </row>
    <row r="67" spans="1:34" x14ac:dyDescent="0.25">
      <c r="A67" s="402">
        <f t="shared" ca="1" si="6"/>
        <v>0.01</v>
      </c>
      <c r="B67" s="357">
        <f t="shared" ca="1" si="7"/>
        <v>0.63000000000000034</v>
      </c>
      <c r="C67" s="342"/>
      <c r="D67" s="359">
        <f t="shared" ca="1" si="8"/>
        <v>15.403819801393158</v>
      </c>
      <c r="E67" s="360">
        <f t="shared" ca="1" si="9"/>
        <v>71.165457764734583</v>
      </c>
      <c r="F67" s="357">
        <f t="shared" ca="1" si="10"/>
        <v>72.813460591692888</v>
      </c>
      <c r="G67" s="359">
        <f t="shared" ca="1" si="11"/>
        <v>8.7448720668146827</v>
      </c>
      <c r="H67" s="360">
        <f t="shared" ca="1" si="12"/>
        <v>45.872316937772489</v>
      </c>
      <c r="I67" s="357">
        <f t="shared" ca="1" si="13"/>
        <v>46.698418053552999</v>
      </c>
      <c r="J67" s="359">
        <f t="shared" ca="1" si="14"/>
        <v>2.5811805423063396</v>
      </c>
      <c r="K67" s="360">
        <f t="shared" ca="1" si="15"/>
        <v>14.160641571021051</v>
      </c>
      <c r="L67" s="357">
        <f t="shared" ca="1" si="0"/>
        <v>14.39396619055743</v>
      </c>
      <c r="M67" s="359">
        <f t="shared" ca="1" si="16"/>
        <v>1.3824215149336174</v>
      </c>
      <c r="N67" s="357">
        <f t="shared" ca="1" si="17"/>
        <v>79.206918313777791</v>
      </c>
      <c r="O67" s="343"/>
      <c r="P67" s="363">
        <f t="shared" ca="1" si="18"/>
        <v>3</v>
      </c>
      <c r="Q67" s="357">
        <f t="shared" ca="1" si="19"/>
        <v>783.25</v>
      </c>
      <c r="R67" s="359">
        <f t="shared" ca="1" si="20"/>
        <v>0.39307668203481394</v>
      </c>
      <c r="S67" s="360">
        <f t="shared" ca="1" si="21"/>
        <v>9.4312915726035662</v>
      </c>
      <c r="T67" s="357">
        <f t="shared" ca="1" si="1"/>
        <v>92.520970327240988</v>
      </c>
      <c r="U67" s="364">
        <f t="shared" ca="1" si="2"/>
        <v>0</v>
      </c>
      <c r="V67" s="359">
        <f t="shared" ca="1" si="3"/>
        <v>1.2232665487466443</v>
      </c>
      <c r="W67" s="357">
        <f t="shared" ca="1" si="4"/>
        <v>6.0381660932889121</v>
      </c>
      <c r="X67" s="343"/>
      <c r="Y67" s="367" t="str">
        <f t="shared" ca="1" si="22"/>
        <v/>
      </c>
      <c r="Z67" s="368" t="str">
        <f t="shared" ca="1" si="23"/>
        <v/>
      </c>
      <c r="AA67" s="369" t="str">
        <f t="shared" ca="1" si="24"/>
        <v/>
      </c>
      <c r="AB67" s="344"/>
      <c r="AC67" s="363" t="e">
        <f t="shared" ca="1" si="25"/>
        <v>#N/A</v>
      </c>
      <c r="AD67" s="376" t="e">
        <f t="shared" ca="1" si="26"/>
        <v>#N/A</v>
      </c>
      <c r="AE67" s="377">
        <f t="shared" ca="1" si="5"/>
        <v>14.160641571021051</v>
      </c>
      <c r="AF67" s="344"/>
      <c r="AG67" s="359">
        <f t="shared" ca="1" si="27"/>
        <v>72.790378393065097</v>
      </c>
      <c r="AH67" s="357">
        <f t="shared" ca="1" si="28"/>
        <v>82.427558648076598</v>
      </c>
    </row>
    <row r="68" spans="1:34" x14ac:dyDescent="0.25">
      <c r="A68" s="402">
        <f t="shared" ca="1" si="6"/>
        <v>0.01</v>
      </c>
      <c r="B68" s="357">
        <f t="shared" ca="1" si="7"/>
        <v>0.64000000000000035</v>
      </c>
      <c r="C68" s="342"/>
      <c r="D68" s="359">
        <f t="shared" ca="1" si="8"/>
        <v>15.414889894205464</v>
      </c>
      <c r="E68" s="360">
        <f t="shared" ca="1" si="9"/>
        <v>71.050727222213837</v>
      </c>
      <c r="F68" s="357">
        <f t="shared" ca="1" si="10"/>
        <v>72.703677137101636</v>
      </c>
      <c r="G68" s="359">
        <f t="shared" ca="1" si="11"/>
        <v>8.899020965756737</v>
      </c>
      <c r="H68" s="360">
        <f t="shared" ca="1" si="12"/>
        <v>46.582824209994627</v>
      </c>
      <c r="I68" s="357">
        <f t="shared" ca="1" si="13"/>
        <v>47.425226257006301</v>
      </c>
      <c r="J68" s="359">
        <f t="shared" ca="1" si="14"/>
        <v>2.6694000074691968</v>
      </c>
      <c r="K68" s="360">
        <f t="shared" ca="1" si="15"/>
        <v>14.622917276759887</v>
      </c>
      <c r="L68" s="357">
        <f t="shared" ref="L68:L131" ca="1" si="29">SQRT(pos_x^2+pos_z^2)</f>
        <v>14.864568815907152</v>
      </c>
      <c r="M68" s="359">
        <f t="shared" ca="1" si="16"/>
        <v>1.3820341583887188</v>
      </c>
      <c r="N68" s="357">
        <f t="shared" ca="1" si="17"/>
        <v>79.184724418588331</v>
      </c>
      <c r="O68" s="343"/>
      <c r="P68" s="363">
        <f t="shared" ca="1" si="18"/>
        <v>3</v>
      </c>
      <c r="Q68" s="357">
        <f t="shared" ca="1" si="19"/>
        <v>782.06999999999994</v>
      </c>
      <c r="R68" s="359">
        <f t="shared" ca="1" si="20"/>
        <v>0.39248449501304422</v>
      </c>
      <c r="S68" s="360">
        <f t="shared" ca="1" si="21"/>
        <v>9.4273667276534354</v>
      </c>
      <c r="T68" s="357">
        <f t="shared" ref="T68:T131" ca="1" si="30">m*g</f>
        <v>92.482467598280209</v>
      </c>
      <c r="U68" s="364">
        <f t="shared" ref="U68:U131" ca="1" si="31">IF(pos_xz&lt;L_rampe,Poids*COS(Beta),0)</f>
        <v>0</v>
      </c>
      <c r="V68" s="359">
        <f t="shared" ref="V68:V131" ca="1" si="32">Rho_moyen*(20000-Alt_rampe-pos_z)/(20000+Alt_rampe+pos_z)</f>
        <v>1.2232100013836815</v>
      </c>
      <c r="W68" s="357">
        <f t="shared" ref="W68:W131" ca="1" si="33">1/2*Rho*Sref*Cx*vit_xz^2</f>
        <v>6.2272953525263102</v>
      </c>
      <c r="X68" s="343"/>
      <c r="Y68" s="367" t="str">
        <f t="shared" ca="1" si="22"/>
        <v/>
      </c>
      <c r="Z68" s="368" t="str">
        <f t="shared" ca="1" si="23"/>
        <v/>
      </c>
      <c r="AA68" s="369" t="str">
        <f t="shared" ca="1" si="24"/>
        <v/>
      </c>
      <c r="AB68" s="344"/>
      <c r="AC68" s="363" t="e">
        <f t="shared" ca="1" si="25"/>
        <v>#N/A</v>
      </c>
      <c r="AD68" s="376" t="e">
        <f t="shared" ca="1" si="26"/>
        <v>#N/A</v>
      </c>
      <c r="AE68" s="377">
        <f t="shared" ref="AE68:AE131" ca="1" si="34">IF(t&lt;T_para, pos_z, NA())</f>
        <v>14.622917276759887</v>
      </c>
      <c r="AF68" s="344"/>
      <c r="AG68" s="359">
        <f t="shared" ca="1" si="27"/>
        <v>72.680464549210569</v>
      </c>
      <c r="AH68" s="357">
        <f t="shared" ca="1" si="28"/>
        <v>82.316924367688515</v>
      </c>
    </row>
    <row r="69" spans="1:34" x14ac:dyDescent="0.25">
      <c r="A69" s="402">
        <f t="shared" ref="A69:A132" ca="1" si="35">IF(B68+0.01&lt;=T_ini+ROUNDUP(Temps_fin_propu,0), 0.01, IF(K68&gt;0, 0.1, 0.0001))</f>
        <v>0.01</v>
      </c>
      <c r="B69" s="357">
        <f t="shared" ref="B69:B132" ca="1" si="36">B68+pas</f>
        <v>0.65000000000000036</v>
      </c>
      <c r="C69" s="342"/>
      <c r="D69" s="359">
        <f t="shared" ref="D69:D132" ca="1" si="37">IF(AND(L68&lt;L_rampe,Poussee&lt;Poids*SIN(M68)),0,(-W68+Poussee)/m*COS(M68)-U68/m*SIN(M68))</f>
        <v>15.425371663787764</v>
      </c>
      <c r="E69" s="360">
        <f t="shared" ref="E69:E132" ca="1" si="38">IF(AND(L68&lt;L_rampe,Poussee&lt;Poids*SIN(M68)),0,(-W68+Poussee)/m*SIN(M68)+U68/m*COS(M68)-Poids/m)</f>
        <v>70.935666220256451</v>
      </c>
      <c r="F69" s="357">
        <f t="shared" ref="F69:F132" ca="1" si="39">SQRT(acc_x^2+acc_z^2)</f>
        <v>72.593462743401474</v>
      </c>
      <c r="G69" s="359">
        <f t="shared" ref="G69:G132" ca="1" si="40">G68+acc_x*pas</f>
        <v>9.0532746823946137</v>
      </c>
      <c r="H69" s="360">
        <f t="shared" ref="H69:H132" ca="1" si="41">H68+acc_z*pas</f>
        <v>47.292180872197193</v>
      </c>
      <c r="I69" s="357">
        <f t="shared" ref="I69:I132" ca="1" si="42">SQRT(vit_x^2+vit_z^2)</f>
        <v>48.15093097878276</v>
      </c>
      <c r="J69" s="359">
        <f t="shared" ref="J69:J132" ca="1" si="43">J68+0.5*(vit_x+G68)*pas*(K68&gt;=0)</f>
        <v>2.7591614857099533</v>
      </c>
      <c r="K69" s="360">
        <f t="shared" ref="K69:K132" ca="1" si="44">K68+0.5*(vit_z+H68)*pas</f>
        <v>15.092292302170847</v>
      </c>
      <c r="L69" s="357">
        <f t="shared" ca="1" si="29"/>
        <v>15.342433282839803</v>
      </c>
      <c r="M69" s="359">
        <f t="shared" ref="M69:M132" ca="1" si="45">IF(AND(L68&gt;L_rampe,G69&gt;0),ATAN2(G69,H69),$M$4)</f>
        <v>1.3816518646827112</v>
      </c>
      <c r="N69" s="357">
        <f t="shared" ref="N69:N132" ca="1" si="46">DEGREES(Beta)</f>
        <v>79.162820602699668</v>
      </c>
      <c r="O69" s="343"/>
      <c r="P69" s="363">
        <f t="shared" ref="P69:P132" ca="1" si="47">MATCH(t-pas/2-T_ini,CdP_t)</f>
        <v>3</v>
      </c>
      <c r="Q69" s="357">
        <f t="shared" ref="Q69:Q132" ca="1" si="48">(INDEX(CdP,2,i_P+1)-INDEX(CdP,2,i_P+0))/(INDEX(CdP,1,i_P+1)-INDEX(CdP,1,i_P+0))*(t-pas/2-T_ini-INDEX(CdP,1,i_P+0))+INDEX(CdP,2,i_P+0)</f>
        <v>780.89</v>
      </c>
      <c r="R69" s="359">
        <f t="shared" ref="R69:R132" ca="1" si="49">Poussee/(g*ISP)</f>
        <v>0.39189230799127461</v>
      </c>
      <c r="S69" s="360">
        <f t="shared" ref="S69:S132" ca="1" si="50">S68-Débit*pas</f>
        <v>9.4234478045735219</v>
      </c>
      <c r="T69" s="357">
        <f t="shared" ca="1" si="30"/>
        <v>92.444022962866256</v>
      </c>
      <c r="U69" s="364">
        <f t="shared" ca="1" si="31"/>
        <v>0</v>
      </c>
      <c r="V69" s="359">
        <f t="shared" ca="1" si="32"/>
        <v>1.2231525882768706</v>
      </c>
      <c r="W69" s="357">
        <f t="shared" ca="1" si="33"/>
        <v>6.419033369996539</v>
      </c>
      <c r="X69" s="343"/>
      <c r="Y69" s="367" t="str">
        <f t="shared" ref="Y69:Y132" ca="1" si="51">IF(AND(pos_z&lt;=0,K68&gt;0),"Impact balistique","") &amp; IF(AND(H70&lt;0,vit_z&gt;=0),"Apogée","") &amp; IF(AND(Poussee=0,Q68&gt;0),"Fin de propulsion","") &amp; IF(AND(L70&gt;L_rampe,pos_xz&lt;=L_rampe),"Sortie de rampe","")</f>
        <v/>
      </c>
      <c r="Z69" s="368" t="str">
        <f t="shared" ref="Z69:Z132" ca="1" si="52">IF(ABS(t-T_para)&lt;pas/2,"Para","")</f>
        <v/>
      </c>
      <c r="AA69" s="369" t="str">
        <f t="shared" ref="AA69:AA132" ca="1" si="53">IF(ABS(t-T_satellite)&lt;pas/2,"Satellite","")</f>
        <v/>
      </c>
      <c r="AB69" s="344"/>
      <c r="AC69" s="363" t="e">
        <f t="shared" ref="AC69:AC132" ca="1" si="54">IF(ABS(t-ROUND(t,0))&lt;0.001,t,NA())</f>
        <v>#N/A</v>
      </c>
      <c r="AD69" s="376" t="e">
        <f t="shared" ref="AD69:AD132" ca="1" si="55">IF(ABS(t-ROUND(t,0))&lt;0.001,pos_x,NA())</f>
        <v>#N/A</v>
      </c>
      <c r="AE69" s="377">
        <f t="shared" ca="1" si="34"/>
        <v>15.092292302170847</v>
      </c>
      <c r="AF69" s="344"/>
      <c r="AG69" s="359">
        <f t="shared" ref="AG69:AG132" ca="1" si="56">IF(AND(L68&lt;L_rampe,Poussee&lt;Poids*SIN(M68)),0,(-W68+Poussee)/m-Poids*SIN(M68)/m)</f>
        <v>72.570120318387495</v>
      </c>
      <c r="AH69" s="357">
        <f t="shared" ref="AH69:AH132" ca="1" si="57">IF(AND(L68&lt;L_rampe,Poussee&lt;Poids*SIN(M68)), g*SIN(M68), (-W68+Poussee)/m)</f>
        <v>82.205867821701446</v>
      </c>
    </row>
    <row r="70" spans="1:34" x14ac:dyDescent="0.25">
      <c r="A70" s="402">
        <f t="shared" ca="1" si="35"/>
        <v>0.01</v>
      </c>
      <c r="B70" s="357">
        <f t="shared" ca="1" si="36"/>
        <v>0.66000000000000036</v>
      </c>
      <c r="C70" s="342"/>
      <c r="D70" s="359">
        <f t="shared" ca="1" si="37"/>
        <v>15.435279239644185</v>
      </c>
      <c r="E70" s="360">
        <f t="shared" ca="1" si="38"/>
        <v>70.82027393100644</v>
      </c>
      <c r="F70" s="357">
        <f t="shared" ca="1" si="39"/>
        <v>72.482818963314202</v>
      </c>
      <c r="G70" s="359">
        <f t="shared" ca="1" si="40"/>
        <v>9.2076274747910549</v>
      </c>
      <c r="H70" s="360">
        <f t="shared" ca="1" si="41"/>
        <v>48.00038361150726</v>
      </c>
      <c r="I70" s="357">
        <f t="shared" ca="1" si="42"/>
        <v>48.875527931331661</v>
      </c>
      <c r="J70" s="359">
        <f t="shared" ca="1" si="43"/>
        <v>2.8504659964958816</v>
      </c>
      <c r="K70" s="360">
        <f t="shared" ca="1" si="44"/>
        <v>15.568755124589369</v>
      </c>
      <c r="L70" s="357">
        <f t="shared" ca="1" si="29"/>
        <v>15.827548531803876</v>
      </c>
      <c r="M70" s="359">
        <f t="shared" ca="1" si="45"/>
        <v>1.3812744849564578</v>
      </c>
      <c r="N70" s="357">
        <f t="shared" ca="1" si="46"/>
        <v>79.141198337111547</v>
      </c>
      <c r="O70" s="343"/>
      <c r="P70" s="363">
        <f t="shared" ca="1" si="47"/>
        <v>3</v>
      </c>
      <c r="Q70" s="357">
        <f t="shared" ca="1" si="48"/>
        <v>779.70999999999992</v>
      </c>
      <c r="R70" s="359">
        <f t="shared" ca="1" si="49"/>
        <v>0.39130012096950489</v>
      </c>
      <c r="S70" s="360">
        <f t="shared" ca="1" si="50"/>
        <v>9.4195348033638275</v>
      </c>
      <c r="T70" s="357">
        <f t="shared" ca="1" si="30"/>
        <v>92.405636420999159</v>
      </c>
      <c r="U70" s="364">
        <f t="shared" ca="1" si="31"/>
        <v>0</v>
      </c>
      <c r="V70" s="359">
        <f t="shared" ca="1" si="32"/>
        <v>1.2230943109575401</v>
      </c>
      <c r="W70" s="357">
        <f t="shared" ca="1" si="33"/>
        <v>6.613364913496266</v>
      </c>
      <c r="X70" s="343"/>
      <c r="Y70" s="367" t="str">
        <f t="shared" ca="1" si="51"/>
        <v/>
      </c>
      <c r="Z70" s="368" t="str">
        <f t="shared" ca="1" si="52"/>
        <v/>
      </c>
      <c r="AA70" s="369" t="str">
        <f t="shared" ca="1" si="53"/>
        <v/>
      </c>
      <c r="AB70" s="344"/>
      <c r="AC70" s="363" t="e">
        <f t="shared" ca="1" si="54"/>
        <v>#N/A</v>
      </c>
      <c r="AD70" s="376" t="e">
        <f t="shared" ca="1" si="55"/>
        <v>#N/A</v>
      </c>
      <c r="AE70" s="377">
        <f t="shared" ca="1" si="34"/>
        <v>15.568755124589369</v>
      </c>
      <c r="AF70" s="344"/>
      <c r="AG70" s="359">
        <f t="shared" ca="1" si="56"/>
        <v>72.459347223360169</v>
      </c>
      <c r="AH70" s="357">
        <f t="shared" ca="1" si="57"/>
        <v>82.094390304057484</v>
      </c>
    </row>
    <row r="71" spans="1:34" x14ac:dyDescent="0.25">
      <c r="A71" s="402">
        <f t="shared" ca="1" si="35"/>
        <v>0.01</v>
      </c>
      <c r="B71" s="357">
        <f t="shared" ca="1" si="36"/>
        <v>0.67000000000000037</v>
      </c>
      <c r="C71" s="342"/>
      <c r="D71" s="359">
        <f t="shared" ca="1" si="37"/>
        <v>15.444626135716614</v>
      </c>
      <c r="E71" s="360">
        <f t="shared" ca="1" si="38"/>
        <v>70.704549625339965</v>
      </c>
      <c r="F71" s="357">
        <f t="shared" ca="1" si="39"/>
        <v>72.371747347941124</v>
      </c>
      <c r="G71" s="359">
        <f t="shared" ca="1" si="40"/>
        <v>9.3620737361482202</v>
      </c>
      <c r="H71" s="360">
        <f t="shared" ca="1" si="41"/>
        <v>48.70742910776066</v>
      </c>
      <c r="I71" s="357">
        <f t="shared" ca="1" si="42"/>
        <v>49.5990128422795</v>
      </c>
      <c r="J71" s="359">
        <f t="shared" ca="1" si="43"/>
        <v>2.943314502550578</v>
      </c>
      <c r="K71" s="360">
        <f t="shared" ca="1" si="44"/>
        <v>16.052294188185709</v>
      </c>
      <c r="L71" s="357">
        <f t="shared" ca="1" si="29"/>
        <v>16.319903460651513</v>
      </c>
      <c r="M71" s="359">
        <f t="shared" ca="1" si="45"/>
        <v>1.3809018768808745</v>
      </c>
      <c r="N71" s="357">
        <f t="shared" ca="1" si="46"/>
        <v>79.119849466968134</v>
      </c>
      <c r="O71" s="343"/>
      <c r="P71" s="363">
        <f t="shared" ca="1" si="47"/>
        <v>3</v>
      </c>
      <c r="Q71" s="357">
        <f t="shared" ca="1" si="48"/>
        <v>778.53</v>
      </c>
      <c r="R71" s="359">
        <f t="shared" ca="1" si="49"/>
        <v>0.39070793394773529</v>
      </c>
      <c r="S71" s="360">
        <f t="shared" ca="1" si="50"/>
        <v>9.4156277240243504</v>
      </c>
      <c r="T71" s="357">
        <f t="shared" ca="1" si="30"/>
        <v>92.367307972678887</v>
      </c>
      <c r="U71" s="364">
        <f t="shared" ca="1" si="31"/>
        <v>0</v>
      </c>
      <c r="V71" s="359">
        <f t="shared" ca="1" si="32"/>
        <v>1.2230351709626341</v>
      </c>
      <c r="W71" s="357">
        <f t="shared" ca="1" si="33"/>
        <v>6.8102746991603951</v>
      </c>
      <c r="X71" s="343"/>
      <c r="Y71" s="367" t="str">
        <f t="shared" ca="1" si="51"/>
        <v/>
      </c>
      <c r="Z71" s="368" t="str">
        <f t="shared" ca="1" si="52"/>
        <v/>
      </c>
      <c r="AA71" s="369" t="str">
        <f t="shared" ca="1" si="53"/>
        <v/>
      </c>
      <c r="AB71" s="344"/>
      <c r="AC71" s="363" t="e">
        <f t="shared" ca="1" si="54"/>
        <v>#N/A</v>
      </c>
      <c r="AD71" s="376" t="e">
        <f t="shared" ca="1" si="55"/>
        <v>#N/A</v>
      </c>
      <c r="AE71" s="377">
        <f t="shared" ca="1" si="34"/>
        <v>16.052294188185709</v>
      </c>
      <c r="AF71" s="344"/>
      <c r="AG71" s="359">
        <f t="shared" ca="1" si="56"/>
        <v>72.348146786430576</v>
      </c>
      <c r="AH71" s="357">
        <f t="shared" ca="1" si="57"/>
        <v>81.982493118002907</v>
      </c>
    </row>
    <row r="72" spans="1:34" x14ac:dyDescent="0.25">
      <c r="A72" s="402">
        <f t="shared" ca="1" si="35"/>
        <v>0.01</v>
      </c>
      <c r="B72" s="357">
        <f t="shared" ca="1" si="36"/>
        <v>0.68000000000000038</v>
      </c>
      <c r="C72" s="342"/>
      <c r="D72" s="359">
        <f t="shared" ca="1" si="37"/>
        <v>15.453425286821711</v>
      </c>
      <c r="E72" s="360">
        <f t="shared" ca="1" si="38"/>
        <v>70.588492667674913</v>
      </c>
      <c r="F72" s="357">
        <f t="shared" ca="1" si="39"/>
        <v>72.26024944732599</v>
      </c>
      <c r="G72" s="359">
        <f t="shared" ca="1" si="40"/>
        <v>9.5166079890164372</v>
      </c>
      <c r="H72" s="360">
        <f t="shared" ca="1" si="41"/>
        <v>49.413314034437413</v>
      </c>
      <c r="I72" s="357">
        <f t="shared" ca="1" si="42"/>
        <v>50.321381454432874</v>
      </c>
      <c r="J72" s="359">
        <f t="shared" ca="1" si="43"/>
        <v>3.0377079111764012</v>
      </c>
      <c r="K72" s="360">
        <f t="shared" ca="1" si="44"/>
        <v>16.542897903896698</v>
      </c>
      <c r="L72" s="357">
        <f t="shared" ca="1" si="29"/>
        <v>16.819486924765972</v>
      </c>
      <c r="M72" s="359">
        <f t="shared" ca="1" si="45"/>
        <v>1.3805339042765907</v>
      </c>
      <c r="N72" s="357">
        <f t="shared" ca="1" si="46"/>
        <v>79.098766189766238</v>
      </c>
      <c r="O72" s="343"/>
      <c r="P72" s="363">
        <f t="shared" ca="1" si="47"/>
        <v>3</v>
      </c>
      <c r="Q72" s="357">
        <f t="shared" ca="1" si="48"/>
        <v>777.34999999999991</v>
      </c>
      <c r="R72" s="359">
        <f t="shared" ca="1" si="49"/>
        <v>0.39011574692596562</v>
      </c>
      <c r="S72" s="360">
        <f t="shared" ca="1" si="50"/>
        <v>9.4117265665550907</v>
      </c>
      <c r="T72" s="357">
        <f t="shared" ca="1" si="30"/>
        <v>92.329037617905442</v>
      </c>
      <c r="U72" s="364">
        <f t="shared" ca="1" si="31"/>
        <v>0</v>
      </c>
      <c r="V72" s="359">
        <f t="shared" ca="1" si="32"/>
        <v>1.2229751698347078</v>
      </c>
      <c r="W72" s="357">
        <f t="shared" ca="1" si="33"/>
        <v>7.0097473921800129</v>
      </c>
      <c r="X72" s="343"/>
      <c r="Y72" s="367" t="str">
        <f t="shared" ca="1" si="51"/>
        <v/>
      </c>
      <c r="Z72" s="368" t="str">
        <f t="shared" ca="1" si="52"/>
        <v/>
      </c>
      <c r="AA72" s="369" t="str">
        <f t="shared" ca="1" si="53"/>
        <v/>
      </c>
      <c r="AB72" s="344"/>
      <c r="AC72" s="363" t="e">
        <f t="shared" ca="1" si="54"/>
        <v>#N/A</v>
      </c>
      <c r="AD72" s="376" t="e">
        <f t="shared" ca="1" si="55"/>
        <v>#N/A</v>
      </c>
      <c r="AE72" s="377">
        <f t="shared" ca="1" si="34"/>
        <v>16.542897903896698</v>
      </c>
      <c r="AF72" s="344"/>
      <c r="AG72" s="359">
        <f t="shared" ca="1" si="56"/>
        <v>72.236520529933159</v>
      </c>
      <c r="AH72" s="357">
        <f t="shared" ca="1" si="57"/>
        <v>81.87017757602311</v>
      </c>
    </row>
    <row r="73" spans="1:34" x14ac:dyDescent="0.25">
      <c r="A73" s="402">
        <f t="shared" ca="1" si="35"/>
        <v>0.01</v>
      </c>
      <c r="B73" s="357">
        <f t="shared" ca="1" si="36"/>
        <v>0.69000000000000039</v>
      </c>
      <c r="C73" s="342"/>
      <c r="D73" s="359">
        <f t="shared" ca="1" si="37"/>
        <v>15.461689082423083</v>
      </c>
      <c r="E73" s="360">
        <f t="shared" ca="1" si="38"/>
        <v>70.472102511145508</v>
      </c>
      <c r="F73" s="357">
        <f t="shared" ca="1" si="39"/>
        <v>72.148326810972705</v>
      </c>
      <c r="G73" s="359">
        <f t="shared" ca="1" si="40"/>
        <v>9.6712248798406684</v>
      </c>
      <c r="H73" s="360">
        <f t="shared" ca="1" si="41"/>
        <v>50.118035059548866</v>
      </c>
      <c r="I73" s="357">
        <f t="shared" ca="1" si="42"/>
        <v>51.042629525785784</v>
      </c>
      <c r="J73" s="359">
        <f t="shared" ca="1" si="43"/>
        <v>3.1336470755206869</v>
      </c>
      <c r="K73" s="360">
        <f t="shared" ca="1" si="44"/>
        <v>17.04055464936663</v>
      </c>
      <c r="L73" s="357">
        <f t="shared" ca="1" si="29"/>
        <v>17.326287737192004</v>
      </c>
      <c r="M73" s="359">
        <f t="shared" ca="1" si="45"/>
        <v>1.380170436761061</v>
      </c>
      <c r="N73" s="357">
        <f t="shared" ca="1" si="46"/>
        <v>79.077941035136277</v>
      </c>
      <c r="O73" s="343"/>
      <c r="P73" s="363">
        <f t="shared" ca="1" si="47"/>
        <v>3</v>
      </c>
      <c r="Q73" s="357">
        <f t="shared" ca="1" si="48"/>
        <v>776.17</v>
      </c>
      <c r="R73" s="359">
        <f t="shared" ca="1" si="49"/>
        <v>0.38952355990419596</v>
      </c>
      <c r="S73" s="360">
        <f t="shared" ca="1" si="50"/>
        <v>9.4078313309560482</v>
      </c>
      <c r="T73" s="357">
        <f t="shared" ca="1" si="30"/>
        <v>92.290825356678837</v>
      </c>
      <c r="U73" s="364">
        <f t="shared" ca="1" si="31"/>
        <v>0</v>
      </c>
      <c r="V73" s="359">
        <f t="shared" ca="1" si="32"/>
        <v>1.2229143091219219</v>
      </c>
      <c r="W73" s="357">
        <f t="shared" ca="1" si="33"/>
        <v>7.2117676075213701</v>
      </c>
      <c r="X73" s="343"/>
      <c r="Y73" s="367" t="str">
        <f t="shared" ca="1" si="51"/>
        <v/>
      </c>
      <c r="Z73" s="368" t="str">
        <f t="shared" ca="1" si="52"/>
        <v/>
      </c>
      <c r="AA73" s="369" t="str">
        <f t="shared" ca="1" si="53"/>
        <v/>
      </c>
      <c r="AB73" s="344"/>
      <c r="AC73" s="363" t="e">
        <f t="shared" ca="1" si="54"/>
        <v>#N/A</v>
      </c>
      <c r="AD73" s="376" t="e">
        <f t="shared" ca="1" si="55"/>
        <v>#N/A</v>
      </c>
      <c r="AE73" s="377">
        <f t="shared" ca="1" si="34"/>
        <v>17.04055464936663</v>
      </c>
      <c r="AF73" s="344"/>
      <c r="AG73" s="359">
        <f t="shared" ca="1" si="56"/>
        <v>72.124469976689312</v>
      </c>
      <c r="AH73" s="357">
        <f t="shared" ca="1" si="57"/>
        <v>81.757444999777221</v>
      </c>
    </row>
    <row r="74" spans="1:34" x14ac:dyDescent="0.25">
      <c r="A74" s="402">
        <f t="shared" ca="1" si="35"/>
        <v>0.01</v>
      </c>
      <c r="B74" s="357">
        <f t="shared" ca="1" si="36"/>
        <v>0.7000000000000004</v>
      </c>
      <c r="C74" s="342"/>
      <c r="D74" s="359">
        <f t="shared" ca="1" si="37"/>
        <v>15.469429397969769</v>
      </c>
      <c r="E74" s="360">
        <f t="shared" ca="1" si="38"/>
        <v>70.355378693111064</v>
      </c>
      <c r="F74" s="357">
        <f t="shared" ca="1" si="39"/>
        <v>72.03598098832164</v>
      </c>
      <c r="G74" s="359">
        <f t="shared" ca="1" si="40"/>
        <v>9.8259191738203668</v>
      </c>
      <c r="H74" s="360">
        <f t="shared" ca="1" si="41"/>
        <v>50.821588846479976</v>
      </c>
      <c r="I74" s="357">
        <f t="shared" ca="1" si="42"/>
        <v>51.762752829530896</v>
      </c>
      <c r="J74" s="359">
        <f t="shared" ca="1" si="43"/>
        <v>3.2311327957889922</v>
      </c>
      <c r="K74" s="360">
        <f t="shared" ca="1" si="44"/>
        <v>17.545252768896773</v>
      </c>
      <c r="L74" s="357">
        <f t="shared" ca="1" si="29"/>
        <v>17.840294668768873</v>
      </c>
      <c r="M74" s="359">
        <f t="shared" ca="1" si="45"/>
        <v>1.3798113494207724</v>
      </c>
      <c r="N74" s="357">
        <f t="shared" ca="1" si="46"/>
        <v>79.057366846061171</v>
      </c>
      <c r="O74" s="343"/>
      <c r="P74" s="363">
        <f t="shared" ca="1" si="47"/>
        <v>3</v>
      </c>
      <c r="Q74" s="357">
        <f t="shared" ca="1" si="48"/>
        <v>774.99</v>
      </c>
      <c r="R74" s="359">
        <f t="shared" ca="1" si="49"/>
        <v>0.38893137288242635</v>
      </c>
      <c r="S74" s="360">
        <f t="shared" ca="1" si="50"/>
        <v>9.4039420172272248</v>
      </c>
      <c r="T74" s="357">
        <f t="shared" ca="1" si="30"/>
        <v>92.252671188999074</v>
      </c>
      <c r="U74" s="364">
        <f t="shared" ca="1" si="31"/>
        <v>0</v>
      </c>
      <c r="V74" s="359">
        <f t="shared" ca="1" si="32"/>
        <v>1.2228525903780409</v>
      </c>
      <c r="W74" s="357">
        <f t="shared" ca="1" si="33"/>
        <v>7.4163199106458917</v>
      </c>
      <c r="X74" s="343"/>
      <c r="Y74" s="367" t="str">
        <f t="shared" ca="1" si="51"/>
        <v/>
      </c>
      <c r="Z74" s="368" t="str">
        <f t="shared" ca="1" si="52"/>
        <v/>
      </c>
      <c r="AA74" s="369" t="str">
        <f t="shared" ca="1" si="53"/>
        <v/>
      </c>
      <c r="AB74" s="344"/>
      <c r="AC74" s="363" t="e">
        <f t="shared" ca="1" si="54"/>
        <v>#N/A</v>
      </c>
      <c r="AD74" s="376" t="e">
        <f t="shared" ca="1" si="55"/>
        <v>#N/A</v>
      </c>
      <c r="AE74" s="377">
        <f t="shared" ca="1" si="34"/>
        <v>17.545252768896773</v>
      </c>
      <c r="AF74" s="344"/>
      <c r="AG74" s="359">
        <f t="shared" ca="1" si="56"/>
        <v>72.011996650424834</v>
      </c>
      <c r="AH74" s="357">
        <f t="shared" ca="1" si="57"/>
        <v>81.644296720032301</v>
      </c>
    </row>
    <row r="75" spans="1:34" x14ac:dyDescent="0.25">
      <c r="A75" s="402">
        <f t="shared" ca="1" si="35"/>
        <v>0.01</v>
      </c>
      <c r="B75" s="357">
        <f t="shared" ca="1" si="36"/>
        <v>0.71000000000000041</v>
      </c>
      <c r="C75" s="342"/>
      <c r="D75" s="359">
        <f t="shared" ca="1" si="37"/>
        <v>15.476657624009677</v>
      </c>
      <c r="E75" s="360">
        <f t="shared" ca="1" si="38"/>
        <v>70.238320830970679</v>
      </c>
      <c r="F75" s="357">
        <f t="shared" ca="1" si="39"/>
        <v>71.923213529188104</v>
      </c>
      <c r="G75" s="359">
        <f t="shared" ca="1" si="40"/>
        <v>9.9806857500604629</v>
      </c>
      <c r="H75" s="360">
        <f t="shared" ca="1" si="41"/>
        <v>51.523972054789681</v>
      </c>
      <c r="I75" s="357">
        <f t="shared" ca="1" si="42"/>
        <v>52.481747154074512</v>
      </c>
      <c r="J75" s="359">
        <f t="shared" ca="1" si="43"/>
        <v>3.3301658204083964</v>
      </c>
      <c r="K75" s="360">
        <f t="shared" ca="1" si="44"/>
        <v>18.056980573403123</v>
      </c>
      <c r="L75" s="357">
        <f t="shared" ca="1" si="29"/>
        <v>18.361496448265704</v>
      </c>
      <c r="M75" s="359">
        <f t="shared" ca="1" si="45"/>
        <v>1.3794565225064317</v>
      </c>
      <c r="N75" s="357">
        <f t="shared" ca="1" si="46"/>
        <v>79.037036761411798</v>
      </c>
      <c r="O75" s="343"/>
      <c r="P75" s="363">
        <f t="shared" ca="1" si="47"/>
        <v>3</v>
      </c>
      <c r="Q75" s="357">
        <f t="shared" ca="1" si="48"/>
        <v>773.81</v>
      </c>
      <c r="R75" s="359">
        <f t="shared" ca="1" si="49"/>
        <v>0.38833918586065669</v>
      </c>
      <c r="S75" s="360">
        <f t="shared" ca="1" si="50"/>
        <v>9.4000586253686187</v>
      </c>
      <c r="T75" s="357">
        <f t="shared" ca="1" si="30"/>
        <v>92.21457511486615</v>
      </c>
      <c r="U75" s="364">
        <f t="shared" ca="1" si="31"/>
        <v>0</v>
      </c>
      <c r="V75" s="359">
        <f t="shared" ca="1" si="32"/>
        <v>1.222790015162422</v>
      </c>
      <c r="W75" s="357">
        <f t="shared" ca="1" si="33"/>
        <v>7.6233888182311027</v>
      </c>
      <c r="X75" s="343"/>
      <c r="Y75" s="367" t="str">
        <f t="shared" ca="1" si="51"/>
        <v/>
      </c>
      <c r="Z75" s="368" t="str">
        <f t="shared" ca="1" si="52"/>
        <v/>
      </c>
      <c r="AA75" s="369" t="str">
        <f t="shared" ca="1" si="53"/>
        <v/>
      </c>
      <c r="AB75" s="344"/>
      <c r="AC75" s="363" t="e">
        <f t="shared" ca="1" si="54"/>
        <v>#N/A</v>
      </c>
      <c r="AD75" s="376" t="e">
        <f t="shared" ca="1" si="55"/>
        <v>#N/A</v>
      </c>
      <c r="AE75" s="377">
        <f t="shared" ca="1" si="34"/>
        <v>18.056980573403123</v>
      </c>
      <c r="AF75" s="344"/>
      <c r="AG75" s="359">
        <f t="shared" ca="1" si="56"/>
        <v>71.899102076153625</v>
      </c>
      <c r="AH75" s="357">
        <f t="shared" ca="1" si="57"/>
        <v>81.530734076597341</v>
      </c>
    </row>
    <row r="76" spans="1:34" x14ac:dyDescent="0.25">
      <c r="A76" s="402">
        <f t="shared" ca="1" si="35"/>
        <v>0.01</v>
      </c>
      <c r="B76" s="357">
        <f t="shared" ca="1" si="36"/>
        <v>0.72000000000000042</v>
      </c>
      <c r="C76" s="342"/>
      <c r="D76" s="359">
        <f t="shared" ca="1" si="37"/>
        <v>15.483384693265181</v>
      </c>
      <c r="E76" s="360">
        <f t="shared" ca="1" si="38"/>
        <v>70.12092861825856</v>
      </c>
      <c r="F76" s="357">
        <f t="shared" ca="1" si="39"/>
        <v>71.810025984165691</v>
      </c>
      <c r="G76" s="359">
        <f t="shared" ca="1" si="40"/>
        <v>10.135519596993115</v>
      </c>
      <c r="H76" s="360">
        <f t="shared" ca="1" si="41"/>
        <v>52.22518134097227</v>
      </c>
      <c r="I76" s="357">
        <f t="shared" ca="1" si="42"/>
        <v>53.199608303054916</v>
      </c>
      <c r="J76" s="359">
        <f t="shared" ca="1" si="43"/>
        <v>3.4307468471436642</v>
      </c>
      <c r="K76" s="360">
        <f t="shared" ca="1" si="44"/>
        <v>18.575726340381934</v>
      </c>
      <c r="L76" s="357">
        <f t="shared" ca="1" si="29"/>
        <v>18.889881762518932</v>
      </c>
      <c r="M76" s="359">
        <f t="shared" ca="1" si="45"/>
        <v>1.3791058411492143</v>
      </c>
      <c r="N76" s="357">
        <f t="shared" ca="1" si="46"/>
        <v>79.01694419968932</v>
      </c>
      <c r="O76" s="343"/>
      <c r="P76" s="363">
        <f t="shared" ca="1" si="47"/>
        <v>3</v>
      </c>
      <c r="Q76" s="357">
        <f t="shared" ca="1" si="48"/>
        <v>772.63</v>
      </c>
      <c r="R76" s="359">
        <f t="shared" ca="1" si="49"/>
        <v>0.38774699883888702</v>
      </c>
      <c r="S76" s="360">
        <f t="shared" ca="1" si="50"/>
        <v>9.3961811553802299</v>
      </c>
      <c r="T76" s="357">
        <f t="shared" ca="1" si="30"/>
        <v>92.176537134280053</v>
      </c>
      <c r="U76" s="364">
        <f t="shared" ca="1" si="31"/>
        <v>0</v>
      </c>
      <c r="V76" s="359">
        <f t="shared" ca="1" si="32"/>
        <v>1.2227265850400109</v>
      </c>
      <c r="W76" s="357">
        <f t="shared" ca="1" si="33"/>
        <v>7.8329587988926237</v>
      </c>
      <c r="X76" s="343"/>
      <c r="Y76" s="367" t="str">
        <f t="shared" ca="1" si="51"/>
        <v/>
      </c>
      <c r="Z76" s="368" t="str">
        <f t="shared" ca="1" si="52"/>
        <v/>
      </c>
      <c r="AA76" s="369" t="str">
        <f t="shared" ca="1" si="53"/>
        <v/>
      </c>
      <c r="AB76" s="344"/>
      <c r="AC76" s="363" t="e">
        <f t="shared" ca="1" si="54"/>
        <v>#N/A</v>
      </c>
      <c r="AD76" s="376" t="e">
        <f t="shared" ca="1" si="55"/>
        <v>#N/A</v>
      </c>
      <c r="AE76" s="377">
        <f t="shared" ca="1" si="34"/>
        <v>18.575726340381934</v>
      </c>
      <c r="AF76" s="344"/>
      <c r="AG76" s="359">
        <f t="shared" ca="1" si="56"/>
        <v>71.7857877805301</v>
      </c>
      <c r="AH76" s="357">
        <f t="shared" ca="1" si="57"/>
        <v>81.416758418256762</v>
      </c>
    </row>
    <row r="77" spans="1:34" x14ac:dyDescent="0.25">
      <c r="A77" s="402">
        <f t="shared" ca="1" si="35"/>
        <v>0.01</v>
      </c>
      <c r="B77" s="357">
        <f t="shared" ca="1" si="36"/>
        <v>0.73000000000000043</v>
      </c>
      <c r="C77" s="342"/>
      <c r="D77" s="359">
        <f t="shared" ca="1" si="37"/>
        <v>15.489621105840705</v>
      </c>
      <c r="E77" s="360">
        <f t="shared" ca="1" si="38"/>
        <v>70.003201820997077</v>
      </c>
      <c r="F77" s="357">
        <f t="shared" ca="1" si="39"/>
        <v>71.696419904997725</v>
      </c>
      <c r="G77" s="359">
        <f t="shared" ca="1" si="40"/>
        <v>10.290415808051522</v>
      </c>
      <c r="H77" s="360">
        <f t="shared" ca="1" si="41"/>
        <v>52.925213359182244</v>
      </c>
      <c r="I77" s="357">
        <f t="shared" ca="1" si="42"/>
        <v>53.916332095363828</v>
      </c>
      <c r="J77" s="359">
        <f t="shared" ca="1" si="43"/>
        <v>3.5328765241688873</v>
      </c>
      <c r="K77" s="360">
        <f t="shared" ca="1" si="44"/>
        <v>19.101478313882705</v>
      </c>
      <c r="L77" s="357">
        <f t="shared" ca="1" si="29"/>
        <v>19.42543925657165</v>
      </c>
      <c r="M77" s="359">
        <f t="shared" ca="1" si="45"/>
        <v>1.3787591950963496</v>
      </c>
      <c r="N77" s="357">
        <f t="shared" ca="1" si="46"/>
        <v>78.997082843875305</v>
      </c>
      <c r="O77" s="343"/>
      <c r="P77" s="363">
        <f t="shared" ca="1" si="47"/>
        <v>3</v>
      </c>
      <c r="Q77" s="357">
        <f t="shared" ca="1" si="48"/>
        <v>771.44999999999993</v>
      </c>
      <c r="R77" s="359">
        <f t="shared" ca="1" si="49"/>
        <v>0.38715481181711736</v>
      </c>
      <c r="S77" s="360">
        <f t="shared" ca="1" si="50"/>
        <v>9.3923096072620584</v>
      </c>
      <c r="T77" s="357">
        <f t="shared" ca="1" si="30"/>
        <v>92.138557247240797</v>
      </c>
      <c r="U77" s="364">
        <f t="shared" ca="1" si="31"/>
        <v>0</v>
      </c>
      <c r="V77" s="359">
        <f t="shared" ca="1" si="32"/>
        <v>1.222662301581332</v>
      </c>
      <c r="W77" s="357">
        <f t="shared" ca="1" si="33"/>
        <v>8.0450142739070731</v>
      </c>
      <c r="X77" s="343"/>
      <c r="Y77" s="367" t="str">
        <f t="shared" ca="1" si="51"/>
        <v/>
      </c>
      <c r="Z77" s="368" t="str">
        <f t="shared" ca="1" si="52"/>
        <v/>
      </c>
      <c r="AA77" s="369" t="str">
        <f t="shared" ca="1" si="53"/>
        <v/>
      </c>
      <c r="AB77" s="344"/>
      <c r="AC77" s="363" t="e">
        <f t="shared" ca="1" si="54"/>
        <v>#N/A</v>
      </c>
      <c r="AD77" s="376" t="e">
        <f t="shared" ca="1" si="55"/>
        <v>#N/A</v>
      </c>
      <c r="AE77" s="377">
        <f t="shared" ca="1" si="34"/>
        <v>19.101478313882705</v>
      </c>
      <c r="AF77" s="344"/>
      <c r="AG77" s="359">
        <f t="shared" ca="1" si="56"/>
        <v>71.672055292173027</v>
      </c>
      <c r="AH77" s="357">
        <f t="shared" ca="1" si="57"/>
        <v>81.302371102703503</v>
      </c>
    </row>
    <row r="78" spans="1:34" x14ac:dyDescent="0.25">
      <c r="A78" s="402">
        <f t="shared" ca="1" si="35"/>
        <v>0.01</v>
      </c>
      <c r="B78" s="357">
        <f t="shared" ca="1" si="36"/>
        <v>0.74000000000000044</v>
      </c>
      <c r="C78" s="342"/>
      <c r="D78" s="359">
        <f t="shared" ca="1" si="37"/>
        <v>15.495376952715221</v>
      </c>
      <c r="E78" s="360">
        <f t="shared" ca="1" si="38"/>
        <v>69.885140274287153</v>
      </c>
      <c r="F78" s="357">
        <f t="shared" ca="1" si="39"/>
        <v>71.58239684491943</v>
      </c>
      <c r="G78" s="359">
        <f t="shared" ca="1" si="40"/>
        <v>10.445369577578674</v>
      </c>
      <c r="H78" s="360">
        <f t="shared" ca="1" si="41"/>
        <v>53.624064761925119</v>
      </c>
      <c r="I78" s="357">
        <f t="shared" ca="1" si="42"/>
        <v>54.631914365170708</v>
      </c>
      <c r="J78" s="359">
        <f t="shared" ca="1" si="43"/>
        <v>3.6365554510970384</v>
      </c>
      <c r="K78" s="360">
        <f t="shared" ca="1" si="44"/>
        <v>19.634224704488243</v>
      </c>
      <c r="L78" s="357">
        <f t="shared" ca="1" si="29"/>
        <v>19.968157533814683</v>
      </c>
      <c r="M78" s="359">
        <f t="shared" ca="1" si="45"/>
        <v>1.3784164784644757</v>
      </c>
      <c r="N78" s="357">
        <f t="shared" ca="1" si="46"/>
        <v>78.977446627299983</v>
      </c>
      <c r="O78" s="343"/>
      <c r="P78" s="363">
        <f t="shared" ca="1" si="47"/>
        <v>3</v>
      </c>
      <c r="Q78" s="357">
        <f t="shared" ca="1" si="48"/>
        <v>770.27</v>
      </c>
      <c r="R78" s="359">
        <f t="shared" ca="1" si="49"/>
        <v>0.38656262479534775</v>
      </c>
      <c r="S78" s="360">
        <f t="shared" ca="1" si="50"/>
        <v>9.3884439810141043</v>
      </c>
      <c r="T78" s="357">
        <f t="shared" ca="1" si="30"/>
        <v>92.100635453748367</v>
      </c>
      <c r="U78" s="364">
        <f t="shared" ca="1" si="31"/>
        <v>0</v>
      </c>
      <c r="V78" s="359">
        <f t="shared" ca="1" si="32"/>
        <v>1.2225971663624786</v>
      </c>
      <c r="W78" s="357">
        <f t="shared" ca="1" si="33"/>
        <v>8.2595396179359124</v>
      </c>
      <c r="X78" s="343"/>
      <c r="Y78" s="367" t="str">
        <f t="shared" ca="1" si="51"/>
        <v/>
      </c>
      <c r="Z78" s="368" t="str">
        <f t="shared" ca="1" si="52"/>
        <v/>
      </c>
      <c r="AA78" s="369" t="str">
        <f t="shared" ca="1" si="53"/>
        <v/>
      </c>
      <c r="AB78" s="344"/>
      <c r="AC78" s="363" t="e">
        <f t="shared" ca="1" si="54"/>
        <v>#N/A</v>
      </c>
      <c r="AD78" s="376" t="e">
        <f t="shared" ca="1" si="55"/>
        <v>#N/A</v>
      </c>
      <c r="AE78" s="377">
        <f t="shared" ca="1" si="34"/>
        <v>19.634224704488243</v>
      </c>
      <c r="AF78" s="344"/>
      <c r="AG78" s="359">
        <f t="shared" ca="1" si="56"/>
        <v>71.557906141963258</v>
      </c>
      <c r="AH78" s="357">
        <f t="shared" ca="1" si="57"/>
        <v>81.187573496472012</v>
      </c>
    </row>
    <row r="79" spans="1:34" x14ac:dyDescent="0.25">
      <c r="A79" s="402">
        <f t="shared" ca="1" si="35"/>
        <v>0.01</v>
      </c>
      <c r="B79" s="357">
        <f t="shared" ca="1" si="36"/>
        <v>0.75000000000000044</v>
      </c>
      <c r="C79" s="342"/>
      <c r="D79" s="359">
        <f t="shared" ca="1" si="37"/>
        <v>15.500661937658258</v>
      </c>
      <c r="E79" s="360">
        <f t="shared" ca="1" si="38"/>
        <v>69.766743879116561</v>
      </c>
      <c r="F79" s="357">
        <f t="shared" ca="1" si="39"/>
        <v>71.46795835897241</v>
      </c>
      <c r="G79" s="359">
        <f t="shared" ca="1" si="40"/>
        <v>10.600376196955256</v>
      </c>
      <c r="H79" s="360">
        <f t="shared" ca="1" si="41"/>
        <v>54.321732200716284</v>
      </c>
      <c r="I79" s="357">
        <f t="shared" ca="1" si="42"/>
        <v>55.34635096194971</v>
      </c>
      <c r="J79" s="359">
        <f t="shared" ca="1" si="43"/>
        <v>3.741784179969708</v>
      </c>
      <c r="K79" s="360">
        <f t="shared" ca="1" si="44"/>
        <v>20.173953689301449</v>
      </c>
      <c r="L79" s="357">
        <f t="shared" ca="1" si="29"/>
        <v>20.518025156129212</v>
      </c>
      <c r="M79" s="359">
        <f t="shared" ca="1" si="45"/>
        <v>1.378077589509342</v>
      </c>
      <c r="N79" s="357">
        <f t="shared" ca="1" si="46"/>
        <v>78.958029720447229</v>
      </c>
      <c r="O79" s="343"/>
      <c r="P79" s="363">
        <f t="shared" ca="1" si="47"/>
        <v>3</v>
      </c>
      <c r="Q79" s="357">
        <f t="shared" ca="1" si="48"/>
        <v>769.08999999999992</v>
      </c>
      <c r="R79" s="359">
        <f t="shared" ca="1" si="49"/>
        <v>0.38597043777357803</v>
      </c>
      <c r="S79" s="360">
        <f t="shared" ca="1" si="50"/>
        <v>9.3845842766363692</v>
      </c>
      <c r="T79" s="357">
        <f t="shared" ca="1" si="30"/>
        <v>92.062771753802792</v>
      </c>
      <c r="U79" s="364">
        <f t="shared" ca="1" si="31"/>
        <v>0</v>
      </c>
      <c r="V79" s="359">
        <f t="shared" ca="1" si="32"/>
        <v>1.2225311809651047</v>
      </c>
      <c r="W79" s="357">
        <f t="shared" ca="1" si="33"/>
        <v>8.4765191597502589</v>
      </c>
      <c r="X79" s="343"/>
      <c r="Y79" s="367" t="str">
        <f t="shared" ca="1" si="51"/>
        <v/>
      </c>
      <c r="Z79" s="368" t="str">
        <f t="shared" ca="1" si="52"/>
        <v/>
      </c>
      <c r="AA79" s="369" t="str">
        <f t="shared" ca="1" si="53"/>
        <v/>
      </c>
      <c r="AB79" s="344"/>
      <c r="AC79" s="363" t="e">
        <f t="shared" ca="1" si="54"/>
        <v>#N/A</v>
      </c>
      <c r="AD79" s="376" t="e">
        <f t="shared" ca="1" si="55"/>
        <v>#N/A</v>
      </c>
      <c r="AE79" s="377">
        <f t="shared" ca="1" si="34"/>
        <v>20.173953689301449</v>
      </c>
      <c r="AF79" s="344"/>
      <c r="AG79" s="359">
        <f t="shared" ca="1" si="56"/>
        <v>71.443341863316761</v>
      </c>
      <c r="AH79" s="357">
        <f t="shared" ca="1" si="57"/>
        <v>81.072366974870562</v>
      </c>
    </row>
    <row r="80" spans="1:34" x14ac:dyDescent="0.25">
      <c r="A80" s="402">
        <f t="shared" ca="1" si="35"/>
        <v>0.01</v>
      </c>
      <c r="B80" s="357">
        <f t="shared" ca="1" si="36"/>
        <v>0.76000000000000045</v>
      </c>
      <c r="C80" s="342"/>
      <c r="D80" s="359">
        <f t="shared" ca="1" si="37"/>
        <v>15.505485397695487</v>
      </c>
      <c r="E80" s="360">
        <f t="shared" ca="1" si="38"/>
        <v>69.648012599369835</v>
      </c>
      <c r="F80" s="357">
        <f t="shared" ca="1" si="39"/>
        <v>71.353106004294773</v>
      </c>
      <c r="G80" s="359">
        <f t="shared" ca="1" si="40"/>
        <v>10.755431050932211</v>
      </c>
      <c r="H80" s="360">
        <f t="shared" ca="1" si="41"/>
        <v>55.018212326709985</v>
      </c>
      <c r="I80" s="357">
        <f t="shared" ca="1" si="42"/>
        <v>56.059637750509047</v>
      </c>
      <c r="J80" s="359">
        <f t="shared" ca="1" si="43"/>
        <v>3.8485632162091452</v>
      </c>
      <c r="K80" s="360">
        <f t="shared" ca="1" si="44"/>
        <v>20.720653411938581</v>
      </c>
      <c r="L80" s="357">
        <f t="shared" ca="1" si="29"/>
        <v>21.075030644030864</v>
      </c>
      <c r="M80" s="359">
        <f t="shared" ca="1" si="45"/>
        <v>1.3777424304105756</v>
      </c>
      <c r="N80" s="357">
        <f t="shared" ca="1" si="46"/>
        <v>78.938826518622506</v>
      </c>
      <c r="O80" s="343"/>
      <c r="P80" s="363">
        <f t="shared" ca="1" si="47"/>
        <v>3</v>
      </c>
      <c r="Q80" s="357">
        <f t="shared" ca="1" si="48"/>
        <v>767.91</v>
      </c>
      <c r="R80" s="359">
        <f t="shared" ca="1" si="49"/>
        <v>0.38537825075180843</v>
      </c>
      <c r="S80" s="360">
        <f t="shared" ca="1" si="50"/>
        <v>9.3807304941288514</v>
      </c>
      <c r="T80" s="357">
        <f t="shared" ca="1" si="30"/>
        <v>92.024966147404044</v>
      </c>
      <c r="U80" s="364">
        <f t="shared" ca="1" si="31"/>
        <v>0</v>
      </c>
      <c r="V80" s="359">
        <f t="shared" ca="1" si="32"/>
        <v>1.2224643469764114</v>
      </c>
      <c r="W80" s="357">
        <f t="shared" ca="1" si="33"/>
        <v>8.6959371829565573</v>
      </c>
      <c r="X80" s="343"/>
      <c r="Y80" s="367" t="str">
        <f t="shared" ca="1" si="51"/>
        <v/>
      </c>
      <c r="Z80" s="368" t="str">
        <f t="shared" ca="1" si="52"/>
        <v/>
      </c>
      <c r="AA80" s="369" t="str">
        <f t="shared" ca="1" si="53"/>
        <v/>
      </c>
      <c r="AB80" s="344"/>
      <c r="AC80" s="363" t="e">
        <f t="shared" ca="1" si="54"/>
        <v>#N/A</v>
      </c>
      <c r="AD80" s="376" t="e">
        <f t="shared" ca="1" si="55"/>
        <v>#N/A</v>
      </c>
      <c r="AE80" s="377">
        <f t="shared" ca="1" si="34"/>
        <v>20.720653411938581</v>
      </c>
      <c r="AF80" s="344"/>
      <c r="AG80" s="359">
        <f t="shared" ca="1" si="56"/>
        <v>71.328363992435825</v>
      </c>
      <c r="AH80" s="357">
        <f t="shared" ca="1" si="57"/>
        <v>80.956752921913576</v>
      </c>
    </row>
    <row r="81" spans="1:34" x14ac:dyDescent="0.25">
      <c r="A81" s="402">
        <f t="shared" ca="1" si="35"/>
        <v>0.01</v>
      </c>
      <c r="B81" s="357">
        <f t="shared" ca="1" si="36"/>
        <v>0.77000000000000046</v>
      </c>
      <c r="C81" s="342"/>
      <c r="D81" s="359">
        <f t="shared" ca="1" si="37"/>
        <v>15.509856322237512</v>
      </c>
      <c r="E81" s="360">
        <f t="shared" ca="1" si="38"/>
        <v>69.528946459023388</v>
      </c>
      <c r="F81" s="357">
        <f t="shared" ca="1" si="39"/>
        <v>71.237841340387291</v>
      </c>
      <c r="G81" s="359">
        <f t="shared" ca="1" si="40"/>
        <v>10.910529614154585</v>
      </c>
      <c r="H81" s="360">
        <f t="shared" ca="1" si="41"/>
        <v>55.713501791300217</v>
      </c>
      <c r="I81" s="357">
        <f t="shared" ca="1" si="42"/>
        <v>56.77177061102249</v>
      </c>
      <c r="J81" s="359">
        <f t="shared" ca="1" si="43"/>
        <v>3.9568930195345793</v>
      </c>
      <c r="K81" s="360">
        <f t="shared" ca="1" si="44"/>
        <v>21.274311982528634</v>
      </c>
      <c r="L81" s="357">
        <f t="shared" ca="1" si="29"/>
        <v>21.639162476815105</v>
      </c>
      <c r="M81" s="359">
        <f t="shared" ca="1" si="45"/>
        <v>1.3774109070703358</v>
      </c>
      <c r="N81" s="357">
        <f t="shared" ca="1" si="46"/>
        <v>78.919831630416681</v>
      </c>
      <c r="O81" s="343"/>
      <c r="P81" s="363">
        <f t="shared" ca="1" si="47"/>
        <v>3</v>
      </c>
      <c r="Q81" s="357">
        <f t="shared" ca="1" si="48"/>
        <v>766.7299999999999</v>
      </c>
      <c r="R81" s="359">
        <f t="shared" ca="1" si="49"/>
        <v>0.38478606373003871</v>
      </c>
      <c r="S81" s="360">
        <f t="shared" ca="1" si="50"/>
        <v>9.3768826334915509</v>
      </c>
      <c r="T81" s="357">
        <f t="shared" ca="1" si="30"/>
        <v>91.987218634552121</v>
      </c>
      <c r="U81" s="364">
        <f t="shared" ca="1" si="31"/>
        <v>0</v>
      </c>
      <c r="V81" s="359">
        <f t="shared" ca="1" si="32"/>
        <v>1.2223966659891377</v>
      </c>
      <c r="W81" s="357">
        <f t="shared" ca="1" si="33"/>
        <v>8.9177779267231259</v>
      </c>
      <c r="X81" s="343"/>
      <c r="Y81" s="367" t="str">
        <f t="shared" ca="1" si="51"/>
        <v/>
      </c>
      <c r="Z81" s="368" t="str">
        <f t="shared" ca="1" si="52"/>
        <v/>
      </c>
      <c r="AA81" s="369" t="str">
        <f t="shared" ca="1" si="53"/>
        <v/>
      </c>
      <c r="AB81" s="344"/>
      <c r="AC81" s="363" t="e">
        <f t="shared" ca="1" si="54"/>
        <v>#N/A</v>
      </c>
      <c r="AD81" s="376" t="e">
        <f t="shared" ca="1" si="55"/>
        <v>#N/A</v>
      </c>
      <c r="AE81" s="377">
        <f t="shared" ca="1" si="34"/>
        <v>21.274311982528634</v>
      </c>
      <c r="AF81" s="344"/>
      <c r="AG81" s="359">
        <f t="shared" ca="1" si="56"/>
        <v>71.212974068538983</v>
      </c>
      <c r="AH81" s="357">
        <f t="shared" ca="1" si="57"/>
        <v>80.840732730253208</v>
      </c>
    </row>
    <row r="82" spans="1:34" x14ac:dyDescent="0.25">
      <c r="A82" s="402">
        <f t="shared" ca="1" si="35"/>
        <v>0.01</v>
      </c>
      <c r="B82" s="357">
        <f t="shared" ca="1" si="36"/>
        <v>0.78000000000000047</v>
      </c>
      <c r="C82" s="342"/>
      <c r="D82" s="359">
        <f t="shared" ca="1" si="37"/>
        <v>15.513783370976121</v>
      </c>
      <c r="E82" s="360">
        <f t="shared" ca="1" si="38"/>
        <v>69.409545539512706</v>
      </c>
      <c r="F82" s="357">
        <f t="shared" ca="1" si="39"/>
        <v>71.122165929358914</v>
      </c>
      <c r="G82" s="359">
        <f t="shared" ca="1" si="40"/>
        <v>11.065667447864346</v>
      </c>
      <c r="H82" s="360">
        <f t="shared" ca="1" si="41"/>
        <v>56.407597246695346</v>
      </c>
      <c r="I82" s="357">
        <f t="shared" ca="1" si="42"/>
        <v>57.482745439062988</v>
      </c>
      <c r="J82" s="359">
        <f t="shared" ca="1" si="43"/>
        <v>4.0667740048446737</v>
      </c>
      <c r="K82" s="360">
        <f t="shared" ca="1" si="44"/>
        <v>21.834917477718612</v>
      </c>
      <c r="L82" s="357">
        <f t="shared" ca="1" si="29"/>
        <v>22.210409092703856</v>
      </c>
      <c r="M82" s="359">
        <f t="shared" ca="1" si="45"/>
        <v>1.3770829289247941</v>
      </c>
      <c r="N82" s="357">
        <f t="shared" ca="1" si="46"/>
        <v>78.901039866904625</v>
      </c>
      <c r="O82" s="343"/>
      <c r="P82" s="363">
        <f t="shared" ca="1" si="47"/>
        <v>3</v>
      </c>
      <c r="Q82" s="357">
        <f t="shared" ca="1" si="48"/>
        <v>765.55</v>
      </c>
      <c r="R82" s="359">
        <f t="shared" ca="1" si="49"/>
        <v>0.3841938767082691</v>
      </c>
      <c r="S82" s="360">
        <f t="shared" ca="1" si="50"/>
        <v>9.3730406947244678</v>
      </c>
      <c r="T82" s="357">
        <f t="shared" ca="1" si="30"/>
        <v>91.94952921524704</v>
      </c>
      <c r="U82" s="364">
        <f t="shared" ca="1" si="31"/>
        <v>0</v>
      </c>
      <c r="V82" s="359">
        <f t="shared" ca="1" si="32"/>
        <v>1.2223281396015453</v>
      </c>
      <c r="W82" s="357">
        <f t="shared" ca="1" si="33"/>
        <v>9.1420255865075557</v>
      </c>
      <c r="X82" s="343"/>
      <c r="Y82" s="367" t="str">
        <f t="shared" ca="1" si="51"/>
        <v/>
      </c>
      <c r="Z82" s="368" t="str">
        <f t="shared" ca="1" si="52"/>
        <v/>
      </c>
      <c r="AA82" s="369" t="str">
        <f t="shared" ca="1" si="53"/>
        <v/>
      </c>
      <c r="AB82" s="344"/>
      <c r="AC82" s="363" t="e">
        <f t="shared" ca="1" si="54"/>
        <v>#N/A</v>
      </c>
      <c r="AD82" s="376" t="e">
        <f t="shared" ca="1" si="55"/>
        <v>#N/A</v>
      </c>
      <c r="AE82" s="377">
        <f t="shared" ca="1" si="34"/>
        <v>21.834917477718612</v>
      </c>
      <c r="AF82" s="344"/>
      <c r="AG82" s="359">
        <f t="shared" ca="1" si="56"/>
        <v>71.097173634072306</v>
      </c>
      <c r="AH82" s="357">
        <f t="shared" ca="1" si="57"/>
        <v>80.724307801110953</v>
      </c>
    </row>
    <row r="83" spans="1:34" x14ac:dyDescent="0.25">
      <c r="A83" s="402">
        <f t="shared" ca="1" si="35"/>
        <v>0.01</v>
      </c>
      <c r="B83" s="357">
        <f t="shared" ca="1" si="36"/>
        <v>0.79000000000000048</v>
      </c>
      <c r="C83" s="342"/>
      <c r="D83" s="359">
        <f t="shared" ca="1" si="37"/>
        <v>15.517274890642039</v>
      </c>
      <c r="E83" s="360">
        <f t="shared" ca="1" si="38"/>
        <v>69.289809977257633</v>
      </c>
      <c r="F83" s="357">
        <f t="shared" ca="1" si="39"/>
        <v>71.006081336151908</v>
      </c>
      <c r="G83" s="359">
        <f t="shared" ca="1" si="40"/>
        <v>11.220840196770766</v>
      </c>
      <c r="H83" s="360">
        <f t="shared" ca="1" si="41"/>
        <v>57.100495346467923</v>
      </c>
      <c r="I83" s="357">
        <f t="shared" ca="1" si="42"/>
        <v>58.192558145638102</v>
      </c>
      <c r="J83" s="359">
        <f t="shared" ca="1" si="43"/>
        <v>4.1782065430678497</v>
      </c>
      <c r="K83" s="360">
        <f t="shared" ca="1" si="44"/>
        <v>22.402457940684428</v>
      </c>
      <c r="L83" s="357">
        <f t="shared" ca="1" si="29"/>
        <v>22.788758888993268</v>
      </c>
      <c r="M83" s="359">
        <f t="shared" ca="1" si="45"/>
        <v>1.3767584087674658</v>
      </c>
      <c r="N83" s="357">
        <f t="shared" ca="1" si="46"/>
        <v>78.882446231522792</v>
      </c>
      <c r="O83" s="343"/>
      <c r="P83" s="363">
        <f t="shared" ca="1" si="47"/>
        <v>3</v>
      </c>
      <c r="Q83" s="357">
        <f t="shared" ca="1" si="48"/>
        <v>764.36999999999989</v>
      </c>
      <c r="R83" s="359">
        <f t="shared" ca="1" si="49"/>
        <v>0.38360168968649944</v>
      </c>
      <c r="S83" s="360">
        <f t="shared" ca="1" si="50"/>
        <v>9.3692046778276019</v>
      </c>
      <c r="T83" s="357">
        <f t="shared" ca="1" si="30"/>
        <v>91.911897889488785</v>
      </c>
      <c r="U83" s="364">
        <f t="shared" ca="1" si="31"/>
        <v>0</v>
      </c>
      <c r="V83" s="359">
        <f t="shared" ca="1" si="32"/>
        <v>1.2222587694174081</v>
      </c>
      <c r="W83" s="357">
        <f t="shared" ca="1" si="33"/>
        <v>9.3686643147849438</v>
      </c>
      <c r="X83" s="343"/>
      <c r="Y83" s="367" t="str">
        <f t="shared" ca="1" si="51"/>
        <v/>
      </c>
      <c r="Z83" s="368" t="str">
        <f t="shared" ca="1" si="52"/>
        <v/>
      </c>
      <c r="AA83" s="369" t="str">
        <f t="shared" ca="1" si="53"/>
        <v/>
      </c>
      <c r="AB83" s="344"/>
      <c r="AC83" s="363" t="e">
        <f t="shared" ca="1" si="54"/>
        <v>#N/A</v>
      </c>
      <c r="AD83" s="376" t="e">
        <f t="shared" ca="1" si="55"/>
        <v>#N/A</v>
      </c>
      <c r="AE83" s="377">
        <f t="shared" ca="1" si="34"/>
        <v>22.402457940684428</v>
      </c>
      <c r="AF83" s="344"/>
      <c r="AG83" s="359">
        <f t="shared" ca="1" si="56"/>
        <v>70.980964234902615</v>
      </c>
      <c r="AH83" s="357">
        <f t="shared" ca="1" si="57"/>
        <v>80.607479544208644</v>
      </c>
    </row>
    <row r="84" spans="1:34" x14ac:dyDescent="0.25">
      <c r="A84" s="402">
        <f t="shared" ca="1" si="35"/>
        <v>0.01</v>
      </c>
      <c r="B84" s="357">
        <f t="shared" ca="1" si="36"/>
        <v>0.80000000000000049</v>
      </c>
      <c r="C84" s="342"/>
      <c r="D84" s="359">
        <f t="shared" ca="1" si="37"/>
        <v>15.520338930710658</v>
      </c>
      <c r="E84" s="360">
        <f t="shared" ca="1" si="38"/>
        <v>69.169739961334912</v>
      </c>
      <c r="F84" s="357">
        <f t="shared" ca="1" si="39"/>
        <v>70.889589128748838</v>
      </c>
      <c r="G84" s="359">
        <f t="shared" ca="1" si="40"/>
        <v>11.376043586077872</v>
      </c>
      <c r="H84" s="360">
        <f t="shared" ca="1" si="41"/>
        <v>57.79219274608127</v>
      </c>
      <c r="I84" s="357">
        <f t="shared" ca="1" si="42"/>
        <v>58.901204657227105</v>
      </c>
      <c r="J84" s="359">
        <f t="shared" ca="1" si="43"/>
        <v>4.2911909619820925</v>
      </c>
      <c r="K84" s="360">
        <f t="shared" ca="1" si="44"/>
        <v>22.976921381147175</v>
      </c>
      <c r="L84" s="357">
        <f t="shared" ca="1" si="29"/>
        <v>23.374200222202575</v>
      </c>
      <c r="M84" s="359">
        <f t="shared" ca="1" si="45"/>
        <v>1.3764372625835091</v>
      </c>
      <c r="N84" s="357">
        <f t="shared" ca="1" si="46"/>
        <v>78.864045910575328</v>
      </c>
      <c r="O84" s="343"/>
      <c r="P84" s="363">
        <f t="shared" ca="1" si="47"/>
        <v>3</v>
      </c>
      <c r="Q84" s="357">
        <f t="shared" ca="1" si="48"/>
        <v>763.18999999999994</v>
      </c>
      <c r="R84" s="359">
        <f t="shared" ca="1" si="49"/>
        <v>0.38300950266472977</v>
      </c>
      <c r="S84" s="360">
        <f t="shared" ca="1" si="50"/>
        <v>9.3653745828009551</v>
      </c>
      <c r="T84" s="357">
        <f t="shared" ca="1" si="30"/>
        <v>91.87432465727737</v>
      </c>
      <c r="U84" s="364">
        <f t="shared" ca="1" si="31"/>
        <v>0</v>
      </c>
      <c r="V84" s="359">
        <f t="shared" ca="1" si="32"/>
        <v>1.2221885570459954</v>
      </c>
      <c r="W84" s="357">
        <f t="shared" ca="1" si="33"/>
        <v>9.597678221776853</v>
      </c>
      <c r="X84" s="343"/>
      <c r="Y84" s="367" t="str">
        <f t="shared" ca="1" si="51"/>
        <v/>
      </c>
      <c r="Z84" s="368" t="str">
        <f t="shared" ca="1" si="52"/>
        <v/>
      </c>
      <c r="AA84" s="369" t="str">
        <f t="shared" ca="1" si="53"/>
        <v/>
      </c>
      <c r="AB84" s="344"/>
      <c r="AC84" s="363" t="e">
        <f t="shared" ca="1" si="54"/>
        <v>#N/A</v>
      </c>
      <c r="AD84" s="376" t="e">
        <f t="shared" ca="1" si="55"/>
        <v>#N/A</v>
      </c>
      <c r="AE84" s="377">
        <f t="shared" ca="1" si="34"/>
        <v>22.976921381147175</v>
      </c>
      <c r="AF84" s="344"/>
      <c r="AG84" s="359">
        <f t="shared" ca="1" si="56"/>
        <v>70.864347420494482</v>
      </c>
      <c r="AH84" s="357">
        <f t="shared" ca="1" si="57"/>
        <v>80.490249377699257</v>
      </c>
    </row>
    <row r="85" spans="1:34" x14ac:dyDescent="0.25">
      <c r="A85" s="402">
        <f t="shared" ca="1" si="35"/>
        <v>0.01</v>
      </c>
      <c r="B85" s="357">
        <f t="shared" ca="1" si="36"/>
        <v>0.8100000000000005</v>
      </c>
      <c r="C85" s="342"/>
      <c r="D85" s="359">
        <f t="shared" ca="1" si="37"/>
        <v>15.522983258133898</v>
      </c>
      <c r="E85" s="360">
        <f t="shared" ca="1" si="38"/>
        <v>69.04933573128676</v>
      </c>
      <c r="F85" s="357">
        <f t="shared" ca="1" si="39"/>
        <v>70.772690878362539</v>
      </c>
      <c r="G85" s="359">
        <f t="shared" ca="1" si="40"/>
        <v>11.531273418659211</v>
      </c>
      <c r="H85" s="360">
        <f t="shared" ca="1" si="41"/>
        <v>58.482686103394137</v>
      </c>
      <c r="I85" s="357">
        <f t="shared" ca="1" si="42"/>
        <v>59.608680915819683</v>
      </c>
      <c r="J85" s="359">
        <f t="shared" ca="1" si="43"/>
        <v>4.4057275470057782</v>
      </c>
      <c r="K85" s="360">
        <f t="shared" ca="1" si="44"/>
        <v>23.558295775394551</v>
      </c>
      <c r="L85" s="357">
        <f t="shared" ca="1" si="29"/>
        <v>23.966721408223911</v>
      </c>
      <c r="M85" s="359">
        <f t="shared" ca="1" si="45"/>
        <v>1.3761194093941793</v>
      </c>
      <c r="N85" s="357">
        <f t="shared" ca="1" si="46"/>
        <v>78.845834264321965</v>
      </c>
      <c r="O85" s="343"/>
      <c r="P85" s="363">
        <f t="shared" ca="1" si="47"/>
        <v>3</v>
      </c>
      <c r="Q85" s="357">
        <f t="shared" ca="1" si="48"/>
        <v>762.01</v>
      </c>
      <c r="R85" s="359">
        <f t="shared" ca="1" si="49"/>
        <v>0.38241731564296016</v>
      </c>
      <c r="S85" s="360">
        <f t="shared" ca="1" si="50"/>
        <v>9.3615504096445257</v>
      </c>
      <c r="T85" s="357">
        <f t="shared" ca="1" si="30"/>
        <v>91.836809518612796</v>
      </c>
      <c r="U85" s="364">
        <f t="shared" ca="1" si="31"/>
        <v>0</v>
      </c>
      <c r="V85" s="359">
        <f t="shared" ca="1" si="32"/>
        <v>1.2221175041020611</v>
      </c>
      <c r="W85" s="357">
        <f t="shared" ca="1" si="33"/>
        <v>9.8290513761811003</v>
      </c>
      <c r="X85" s="343"/>
      <c r="Y85" s="367" t="str">
        <f t="shared" ca="1" si="51"/>
        <v/>
      </c>
      <c r="Z85" s="368" t="str">
        <f t="shared" ca="1" si="52"/>
        <v/>
      </c>
      <c r="AA85" s="369" t="str">
        <f t="shared" ca="1" si="53"/>
        <v/>
      </c>
      <c r="AB85" s="344"/>
      <c r="AC85" s="363" t="e">
        <f t="shared" ca="1" si="54"/>
        <v>#N/A</v>
      </c>
      <c r="AD85" s="376" t="e">
        <f t="shared" ca="1" si="55"/>
        <v>#N/A</v>
      </c>
      <c r="AE85" s="377">
        <f t="shared" ca="1" si="34"/>
        <v>23.558295775394551</v>
      </c>
      <c r="AF85" s="344"/>
      <c r="AG85" s="359">
        <f t="shared" ca="1" si="56"/>
        <v>70.74732474407196</v>
      </c>
      <c r="AH85" s="357">
        <f t="shared" ca="1" si="57"/>
        <v>80.372618728097365</v>
      </c>
    </row>
    <row r="86" spans="1:34" x14ac:dyDescent="0.25">
      <c r="A86" s="402">
        <f t="shared" ca="1" si="35"/>
        <v>0.01</v>
      </c>
      <c r="B86" s="357">
        <f t="shared" ca="1" si="36"/>
        <v>0.82000000000000051</v>
      </c>
      <c r="C86" s="342"/>
      <c r="D86" s="359">
        <f t="shared" ca="1" si="37"/>
        <v>15.52521537117032</v>
      </c>
      <c r="E86" s="360">
        <f t="shared" ca="1" si="38"/>
        <v>68.928597575055562</v>
      </c>
      <c r="F86" s="357">
        <f t="shared" ca="1" si="39"/>
        <v>70.655388159610155</v>
      </c>
      <c r="G86" s="359">
        <f t="shared" ca="1" si="40"/>
        <v>11.686525572370915</v>
      </c>
      <c r="H86" s="360">
        <f t="shared" ca="1" si="41"/>
        <v>59.171972079144695</v>
      </c>
      <c r="I86" s="357">
        <f t="shared" ca="1" si="42"/>
        <v>60.314982878956023</v>
      </c>
      <c r="J86" s="359">
        <f t="shared" ca="1" si="43"/>
        <v>4.5218165419609289</v>
      </c>
      <c r="K86" s="360">
        <f t="shared" ca="1" si="44"/>
        <v>24.146569066307247</v>
      </c>
      <c r="L86" s="357">
        <f t="shared" ca="1" si="29"/>
        <v>24.566310722473116</v>
      </c>
      <c r="M86" s="359">
        <f t="shared" ca="1" si="45"/>
        <v>1.3758047711106987</v>
      </c>
      <c r="N86" s="357">
        <f t="shared" ca="1" si="46"/>
        <v>78.827806818605282</v>
      </c>
      <c r="O86" s="343"/>
      <c r="P86" s="363">
        <f t="shared" ca="1" si="47"/>
        <v>3</v>
      </c>
      <c r="Q86" s="357">
        <f t="shared" ca="1" si="48"/>
        <v>760.82999999999993</v>
      </c>
      <c r="R86" s="359">
        <f t="shared" ca="1" si="49"/>
        <v>0.3818251286211905</v>
      </c>
      <c r="S86" s="360">
        <f t="shared" ca="1" si="50"/>
        <v>9.3577321583583135</v>
      </c>
      <c r="T86" s="357">
        <f t="shared" ca="1" si="30"/>
        <v>91.799352473495063</v>
      </c>
      <c r="U86" s="364">
        <f t="shared" ca="1" si="31"/>
        <v>0</v>
      </c>
      <c r="V86" s="359">
        <f t="shared" ca="1" si="32"/>
        <v>1.2220456122058236</v>
      </c>
      <c r="W86" s="357">
        <f t="shared" ca="1" si="33"/>
        <v>10.06276780590218</v>
      </c>
      <c r="X86" s="343"/>
      <c r="Y86" s="367" t="str">
        <f t="shared" ca="1" si="51"/>
        <v/>
      </c>
      <c r="Z86" s="368" t="str">
        <f t="shared" ca="1" si="52"/>
        <v/>
      </c>
      <c r="AA86" s="369" t="str">
        <f t="shared" ca="1" si="53"/>
        <v/>
      </c>
      <c r="AB86" s="344"/>
      <c r="AC86" s="363" t="e">
        <f t="shared" ca="1" si="54"/>
        <v>#N/A</v>
      </c>
      <c r="AD86" s="376" t="e">
        <f t="shared" ca="1" si="55"/>
        <v>#N/A</v>
      </c>
      <c r="AE86" s="377">
        <f t="shared" ca="1" si="34"/>
        <v>24.146569066307247</v>
      </c>
      <c r="AF86" s="344"/>
      <c r="AG86" s="359">
        <f t="shared" ca="1" si="56"/>
        <v>70.629897762765992</v>
      </c>
      <c r="AH86" s="357">
        <f t="shared" ca="1" si="57"/>
        <v>80.254589030209175</v>
      </c>
    </row>
    <row r="87" spans="1:34" x14ac:dyDescent="0.25">
      <c r="A87" s="402">
        <f t="shared" ca="1" si="35"/>
        <v>0.01</v>
      </c>
      <c r="B87" s="357">
        <f t="shared" ca="1" si="36"/>
        <v>0.83000000000000052</v>
      </c>
      <c r="C87" s="342"/>
      <c r="D87" s="359">
        <f t="shared" ca="1" si="37"/>
        <v>15.527042512379083</v>
      </c>
      <c r="E87" s="360">
        <f t="shared" ca="1" si="38"/>
        <v>68.807525827036045</v>
      </c>
      <c r="F87" s="357">
        <f t="shared" ca="1" si="39"/>
        <v>70.537682550672585</v>
      </c>
      <c r="G87" s="359">
        <f t="shared" ca="1" si="40"/>
        <v>11.841795997494705</v>
      </c>
      <c r="H87" s="360">
        <f t="shared" ca="1" si="41"/>
        <v>59.860047337415054</v>
      </c>
      <c r="I87" s="357">
        <f t="shared" ca="1" si="42"/>
        <v>61.020106519768163</v>
      </c>
      <c r="J87" s="359">
        <f t="shared" ca="1" si="43"/>
        <v>4.6394581498102569</v>
      </c>
      <c r="K87" s="360">
        <f t="shared" ca="1" si="44"/>
        <v>24.741729163390048</v>
      </c>
      <c r="L87" s="357">
        <f t="shared" ca="1" si="29"/>
        <v>25.172956400041421</v>
      </c>
      <c r="M87" s="359">
        <f t="shared" ca="1" si="45"/>
        <v>1.3754932723968631</v>
      </c>
      <c r="N87" s="357">
        <f t="shared" ca="1" si="46"/>
        <v>78.809959256978757</v>
      </c>
      <c r="O87" s="343"/>
      <c r="P87" s="363">
        <f t="shared" ca="1" si="47"/>
        <v>3</v>
      </c>
      <c r="Q87" s="357">
        <f t="shared" ca="1" si="48"/>
        <v>759.65</v>
      </c>
      <c r="R87" s="359">
        <f t="shared" ca="1" si="49"/>
        <v>0.38123294159942084</v>
      </c>
      <c r="S87" s="360">
        <f t="shared" ca="1" si="50"/>
        <v>9.3539198289423187</v>
      </c>
      <c r="T87" s="357">
        <f t="shared" ca="1" si="30"/>
        <v>91.761953521924156</v>
      </c>
      <c r="U87" s="364">
        <f t="shared" ca="1" si="31"/>
        <v>0</v>
      </c>
      <c r="V87" s="359">
        <f t="shared" ca="1" si="32"/>
        <v>1.2219728829829539</v>
      </c>
      <c r="W87" s="357">
        <f t="shared" ca="1" si="33"/>
        <v>10.298811498782412</v>
      </c>
      <c r="X87" s="343"/>
      <c r="Y87" s="367" t="str">
        <f t="shared" ca="1" si="51"/>
        <v/>
      </c>
      <c r="Z87" s="368" t="str">
        <f t="shared" ca="1" si="52"/>
        <v/>
      </c>
      <c r="AA87" s="369" t="str">
        <f t="shared" ca="1" si="53"/>
        <v/>
      </c>
      <c r="AB87" s="344"/>
      <c r="AC87" s="363" t="e">
        <f t="shared" ca="1" si="54"/>
        <v>#N/A</v>
      </c>
      <c r="AD87" s="376" t="e">
        <f t="shared" ca="1" si="55"/>
        <v>#N/A</v>
      </c>
      <c r="AE87" s="377">
        <f t="shared" ca="1" si="34"/>
        <v>24.741729163390048</v>
      </c>
      <c r="AF87" s="344"/>
      <c r="AG87" s="359">
        <f t="shared" ca="1" si="56"/>
        <v>70.512068037748989</v>
      </c>
      <c r="AH87" s="357">
        <f t="shared" ca="1" si="57"/>
        <v>80.136161727062444</v>
      </c>
    </row>
    <row r="88" spans="1:34" x14ac:dyDescent="0.25">
      <c r="A88" s="402">
        <f t="shared" ca="1" si="35"/>
        <v>0.01</v>
      </c>
      <c r="B88" s="357">
        <f t="shared" ca="1" si="36"/>
        <v>0.84000000000000052</v>
      </c>
      <c r="C88" s="342"/>
      <c r="D88" s="359">
        <f t="shared" ca="1" si="37"/>
        <v>15.528471680837695</v>
      </c>
      <c r="E88" s="360">
        <f t="shared" ca="1" si="38"/>
        <v>68.686120866235967</v>
      </c>
      <c r="F88" s="357">
        <f t="shared" ca="1" si="39"/>
        <v>70.419575633439848</v>
      </c>
      <c r="G88" s="359">
        <f t="shared" ca="1" si="40"/>
        <v>11.997080714303081</v>
      </c>
      <c r="H88" s="360">
        <f t="shared" ca="1" si="41"/>
        <v>60.546908546077411</v>
      </c>
      <c r="I88" s="357">
        <f t="shared" ca="1" si="42"/>
        <v>61.724047827022531</v>
      </c>
      <c r="J88" s="359">
        <f t="shared" ca="1" si="43"/>
        <v>4.7586525333692462</v>
      </c>
      <c r="K88" s="360">
        <f t="shared" ca="1" si="44"/>
        <v>25.343763942807509</v>
      </c>
      <c r="L88" s="357">
        <f t="shared" ca="1" si="29"/>
        <v>25.786646635848012</v>
      </c>
      <c r="M88" s="359">
        <f t="shared" ca="1" si="45"/>
        <v>1.3751848405397655</v>
      </c>
      <c r="N88" s="357">
        <f t="shared" ca="1" si="46"/>
        <v>78.792287413299675</v>
      </c>
      <c r="O88" s="343"/>
      <c r="P88" s="363">
        <f t="shared" ca="1" si="47"/>
        <v>3</v>
      </c>
      <c r="Q88" s="357">
        <f t="shared" ca="1" si="48"/>
        <v>758.46999999999991</v>
      </c>
      <c r="R88" s="359">
        <f t="shared" ca="1" si="49"/>
        <v>0.38064075457765117</v>
      </c>
      <c r="S88" s="360">
        <f t="shared" ca="1" si="50"/>
        <v>9.3501134213965429</v>
      </c>
      <c r="T88" s="357">
        <f t="shared" ca="1" si="30"/>
        <v>91.724612663900089</v>
      </c>
      <c r="U88" s="364">
        <f t="shared" ca="1" si="31"/>
        <v>0</v>
      </c>
      <c r="V88" s="359">
        <f t="shared" ca="1" si="32"/>
        <v>1.2218993180645576</v>
      </c>
      <c r="W88" s="357">
        <f t="shared" ca="1" si="33"/>
        <v>10.537166403333728</v>
      </c>
      <c r="X88" s="343"/>
      <c r="Y88" s="367" t="str">
        <f t="shared" ca="1" si="51"/>
        <v/>
      </c>
      <c r="Z88" s="368" t="str">
        <f t="shared" ca="1" si="52"/>
        <v/>
      </c>
      <c r="AA88" s="369" t="str">
        <f t="shared" ca="1" si="53"/>
        <v/>
      </c>
      <c r="AB88" s="344"/>
      <c r="AC88" s="363" t="e">
        <f t="shared" ca="1" si="54"/>
        <v>#N/A</v>
      </c>
      <c r="AD88" s="376" t="e">
        <f t="shared" ca="1" si="55"/>
        <v>#N/A</v>
      </c>
      <c r="AE88" s="377">
        <f t="shared" ca="1" si="34"/>
        <v>25.343763942807509</v>
      </c>
      <c r="AF88" s="344"/>
      <c r="AG88" s="359">
        <f t="shared" ca="1" si="56"/>
        <v>70.393837134356602</v>
      </c>
      <c r="AH88" s="357">
        <f t="shared" ca="1" si="57"/>
        <v>80.017338269835648</v>
      </c>
    </row>
    <row r="89" spans="1:34" x14ac:dyDescent="0.25">
      <c r="A89" s="402">
        <f t="shared" ca="1" si="35"/>
        <v>0.01</v>
      </c>
      <c r="B89" s="357">
        <f t="shared" ca="1" si="36"/>
        <v>0.85000000000000053</v>
      </c>
      <c r="C89" s="342"/>
      <c r="D89" s="359">
        <f t="shared" ca="1" si="37"/>
        <v>15.529509643638963</v>
      </c>
      <c r="E89" s="360">
        <f t="shared" ca="1" si="38"/>
        <v>68.564383114538913</v>
      </c>
      <c r="F89" s="357">
        <f t="shared" ca="1" si="39"/>
        <v>70.301068993644364</v>
      </c>
      <c r="G89" s="359">
        <f t="shared" ca="1" si="40"/>
        <v>12.152375810739471</v>
      </c>
      <c r="H89" s="360">
        <f t="shared" ca="1" si="41"/>
        <v>61.232552377222802</v>
      </c>
      <c r="I89" s="357">
        <f t="shared" ca="1" si="42"/>
        <v>62.426802805163582</v>
      </c>
      <c r="J89" s="359">
        <f t="shared" ca="1" si="43"/>
        <v>4.8793998159944589</v>
      </c>
      <c r="K89" s="360">
        <f t="shared" ca="1" si="44"/>
        <v>25.952661247424011</v>
      </c>
      <c r="L89" s="357">
        <f t="shared" ca="1" si="29"/>
        <v>26.407369584793386</v>
      </c>
      <c r="M89" s="359">
        <f t="shared" ca="1" si="45"/>
        <v>1.374879405328062</v>
      </c>
      <c r="N89" s="357">
        <f t="shared" ca="1" si="46"/>
        <v>78.77478726475438</v>
      </c>
      <c r="O89" s="343"/>
      <c r="P89" s="363">
        <f t="shared" ca="1" si="47"/>
        <v>3</v>
      </c>
      <c r="Q89" s="357">
        <f t="shared" ca="1" si="48"/>
        <v>757.29</v>
      </c>
      <c r="R89" s="359">
        <f t="shared" ca="1" si="49"/>
        <v>0.38004856755588157</v>
      </c>
      <c r="S89" s="360">
        <f t="shared" ca="1" si="50"/>
        <v>9.3463129357209844</v>
      </c>
      <c r="T89" s="357">
        <f t="shared" ca="1" si="30"/>
        <v>91.687329899422863</v>
      </c>
      <c r="U89" s="364">
        <f t="shared" ca="1" si="31"/>
        <v>0</v>
      </c>
      <c r="V89" s="359">
        <f t="shared" ca="1" si="32"/>
        <v>1.2218249190871586</v>
      </c>
      <c r="W89" s="357">
        <f t="shared" ca="1" si="33"/>
        <v>10.777816429470077</v>
      </c>
      <c r="X89" s="343"/>
      <c r="Y89" s="367" t="str">
        <f t="shared" ca="1" si="51"/>
        <v/>
      </c>
      <c r="Z89" s="368" t="str">
        <f t="shared" ca="1" si="52"/>
        <v/>
      </c>
      <c r="AA89" s="369" t="str">
        <f t="shared" ca="1" si="53"/>
        <v/>
      </c>
      <c r="AB89" s="344"/>
      <c r="AC89" s="363" t="e">
        <f t="shared" ca="1" si="54"/>
        <v>#N/A</v>
      </c>
      <c r="AD89" s="376" t="e">
        <f t="shared" ca="1" si="55"/>
        <v>#N/A</v>
      </c>
      <c r="AE89" s="377">
        <f t="shared" ca="1" si="34"/>
        <v>25.952661247424011</v>
      </c>
      <c r="AF89" s="344"/>
      <c r="AG89" s="359">
        <f t="shared" ca="1" si="56"/>
        <v>70.275206622198766</v>
      </c>
      <c r="AH89" s="357">
        <f t="shared" ca="1" si="57"/>
        <v>79.898120117787499</v>
      </c>
    </row>
    <row r="90" spans="1:34" x14ac:dyDescent="0.25">
      <c r="A90" s="402">
        <f t="shared" ca="1" si="35"/>
        <v>0.01</v>
      </c>
      <c r="B90" s="357">
        <f t="shared" ca="1" si="36"/>
        <v>0.86000000000000054</v>
      </c>
      <c r="C90" s="342"/>
      <c r="D90" s="359">
        <f t="shared" ca="1" si="37"/>
        <v>15.530162946717502</v>
      </c>
      <c r="E90" s="360">
        <f t="shared" ca="1" si="38"/>
        <v>68.442313035060678</v>
      </c>
      <c r="F90" s="357">
        <f t="shared" ca="1" si="39"/>
        <v>70.182164220981633</v>
      </c>
      <c r="G90" s="359">
        <f t="shared" ca="1" si="40"/>
        <v>12.307677440206646</v>
      </c>
      <c r="H90" s="360">
        <f t="shared" ca="1" si="41"/>
        <v>61.916975507573412</v>
      </c>
      <c r="I90" s="357">
        <f t="shared" ca="1" si="42"/>
        <v>63.128367474358292</v>
      </c>
      <c r="J90" s="359">
        <f t="shared" ca="1" si="43"/>
        <v>5.0017000822491893</v>
      </c>
      <c r="K90" s="360">
        <f t="shared" ca="1" si="44"/>
        <v>26.56840888684799</v>
      </c>
      <c r="L90" s="357">
        <f t="shared" ca="1" si="29"/>
        <v>27.035113361913517</v>
      </c>
      <c r="M90" s="359">
        <f t="shared" ca="1" si="45"/>
        <v>1.3745768989372595</v>
      </c>
      <c r="N90" s="357">
        <f t="shared" ca="1" si="46"/>
        <v>78.757454925285671</v>
      </c>
      <c r="O90" s="343"/>
      <c r="P90" s="363">
        <f t="shared" ca="1" si="47"/>
        <v>3</v>
      </c>
      <c r="Q90" s="357">
        <f t="shared" ca="1" si="48"/>
        <v>756.1099999999999</v>
      </c>
      <c r="R90" s="359">
        <f t="shared" ca="1" si="49"/>
        <v>0.37945638053411185</v>
      </c>
      <c r="S90" s="360">
        <f t="shared" ca="1" si="50"/>
        <v>9.3425183719156433</v>
      </c>
      <c r="T90" s="357">
        <f t="shared" ca="1" si="30"/>
        <v>91.650105228492464</v>
      </c>
      <c r="U90" s="364">
        <f t="shared" ca="1" si="31"/>
        <v>0</v>
      </c>
      <c r="V90" s="359">
        <f t="shared" ca="1" si="32"/>
        <v>1.2217496876926808</v>
      </c>
      <c r="W90" s="357">
        <f t="shared" ca="1" si="33"/>
        <v>11.020745449240335</v>
      </c>
      <c r="X90" s="343"/>
      <c r="Y90" s="367" t="str">
        <f t="shared" ca="1" si="51"/>
        <v/>
      </c>
      <c r="Z90" s="368" t="str">
        <f t="shared" ca="1" si="52"/>
        <v/>
      </c>
      <c r="AA90" s="369" t="str">
        <f t="shared" ca="1" si="53"/>
        <v/>
      </c>
      <c r="AB90" s="344"/>
      <c r="AC90" s="363" t="e">
        <f t="shared" ca="1" si="54"/>
        <v>#N/A</v>
      </c>
      <c r="AD90" s="376" t="e">
        <f t="shared" ca="1" si="55"/>
        <v>#N/A</v>
      </c>
      <c r="AE90" s="377">
        <f t="shared" ca="1" si="34"/>
        <v>26.56840888684799</v>
      </c>
      <c r="AF90" s="344"/>
      <c r="AG90" s="359">
        <f t="shared" ca="1" si="56"/>
        <v>70.156178075259476</v>
      </c>
      <c r="AH90" s="357">
        <f t="shared" ca="1" si="57"/>
        <v>79.778508738185408</v>
      </c>
    </row>
    <row r="91" spans="1:34" x14ac:dyDescent="0.25">
      <c r="A91" s="402">
        <f t="shared" ca="1" si="35"/>
        <v>0.01</v>
      </c>
      <c r="B91" s="357">
        <f t="shared" ca="1" si="36"/>
        <v>0.87000000000000055</v>
      </c>
      <c r="C91" s="342"/>
      <c r="D91" s="359">
        <f t="shared" ca="1" si="37"/>
        <v>15.530437925052496</v>
      </c>
      <c r="E91" s="360">
        <f t="shared" ca="1" si="38"/>
        <v>68.319911130594164</v>
      </c>
      <c r="F91" s="357">
        <f t="shared" ca="1" si="39"/>
        <v>70.062862909220271</v>
      </c>
      <c r="G91" s="359">
        <f t="shared" ca="1" si="40"/>
        <v>12.462981819457172</v>
      </c>
      <c r="H91" s="360">
        <f t="shared" ca="1" si="41"/>
        <v>62.60017461887935</v>
      </c>
      <c r="I91" s="357">
        <f t="shared" ca="1" si="42"/>
        <v>63.828737870541559</v>
      </c>
      <c r="J91" s="359">
        <f t="shared" ca="1" si="43"/>
        <v>5.125553378547508</v>
      </c>
      <c r="K91" s="360">
        <f t="shared" ca="1" si="44"/>
        <v>27.190994637480255</v>
      </c>
      <c r="L91" s="357">
        <f t="shared" ca="1" si="29"/>
        <v>27.669866042534789</v>
      </c>
      <c r="M91" s="359">
        <f t="shared" ca="1" si="45"/>
        <v>1.3742772558215421</v>
      </c>
      <c r="N91" s="357">
        <f t="shared" ca="1" si="46"/>
        <v>78.74028663939491</v>
      </c>
      <c r="O91" s="343"/>
      <c r="P91" s="363">
        <f t="shared" ca="1" si="47"/>
        <v>3</v>
      </c>
      <c r="Q91" s="357">
        <f t="shared" ca="1" si="48"/>
        <v>754.93</v>
      </c>
      <c r="R91" s="359">
        <f t="shared" ca="1" si="49"/>
        <v>0.37886419351234224</v>
      </c>
      <c r="S91" s="360">
        <f t="shared" ca="1" si="50"/>
        <v>9.3387297299805194</v>
      </c>
      <c r="T91" s="357">
        <f t="shared" ca="1" si="30"/>
        <v>91.612938651108905</v>
      </c>
      <c r="U91" s="364">
        <f t="shared" ca="1" si="31"/>
        <v>0</v>
      </c>
      <c r="V91" s="359">
        <f t="shared" ca="1" si="32"/>
        <v>1.2216736255284297</v>
      </c>
      <c r="W91" s="357">
        <f t="shared" ca="1" si="33"/>
        <v>11.265937297561793</v>
      </c>
      <c r="X91" s="343"/>
      <c r="Y91" s="367" t="str">
        <f t="shared" ca="1" si="51"/>
        <v/>
      </c>
      <c r="Z91" s="368" t="str">
        <f t="shared" ca="1" si="52"/>
        <v/>
      </c>
      <c r="AA91" s="369" t="str">
        <f t="shared" ca="1" si="53"/>
        <v/>
      </c>
      <c r="AB91" s="344"/>
      <c r="AC91" s="363" t="e">
        <f t="shared" ca="1" si="54"/>
        <v>#N/A</v>
      </c>
      <c r="AD91" s="376" t="e">
        <f t="shared" ca="1" si="55"/>
        <v>#N/A</v>
      </c>
      <c r="AE91" s="377">
        <f t="shared" ca="1" si="34"/>
        <v>27.190994637480255</v>
      </c>
      <c r="AF91" s="344"/>
      <c r="AG91" s="359">
        <f t="shared" ca="1" si="56"/>
        <v>70.03675307198705</v>
      </c>
      <c r="AH91" s="357">
        <f t="shared" ca="1" si="57"/>
        <v>79.658505606234243</v>
      </c>
    </row>
    <row r="92" spans="1:34" x14ac:dyDescent="0.25">
      <c r="A92" s="402">
        <f t="shared" ca="1" si="35"/>
        <v>0.01</v>
      </c>
      <c r="B92" s="357">
        <f t="shared" ca="1" si="36"/>
        <v>0.88000000000000056</v>
      </c>
      <c r="C92" s="342"/>
      <c r="D92" s="359">
        <f t="shared" ca="1" si="37"/>
        <v>15.530340712289318</v>
      </c>
      <c r="E92" s="360">
        <f t="shared" ca="1" si="38"/>
        <v>68.197177942136037</v>
      </c>
      <c r="F92" s="357">
        <f t="shared" ca="1" si="39"/>
        <v>69.943166656301443</v>
      </c>
      <c r="G92" s="359">
        <f t="shared" ca="1" si="40"/>
        <v>12.618285226580065</v>
      </c>
      <c r="H92" s="360">
        <f t="shared" ca="1" si="41"/>
        <v>63.282146398300711</v>
      </c>
      <c r="I92" s="357">
        <f t="shared" ca="1" si="42"/>
        <v>64.527910045462434</v>
      </c>
      <c r="J92" s="359">
        <f t="shared" ca="1" si="43"/>
        <v>5.2509597137776947</v>
      </c>
      <c r="K92" s="360">
        <f t="shared" ca="1" si="44"/>
        <v>27.820406242566154</v>
      </c>
      <c r="L92" s="357">
        <f t="shared" ca="1" si="29"/>
        <v>28.31161566242962</v>
      </c>
      <c r="M92" s="359">
        <f t="shared" ca="1" si="45"/>
        <v>1.3739804126116897</v>
      </c>
      <c r="N92" s="357">
        <f t="shared" ca="1" si="46"/>
        <v>78.723278776293242</v>
      </c>
      <c r="O92" s="343"/>
      <c r="P92" s="363">
        <f t="shared" ca="1" si="47"/>
        <v>3</v>
      </c>
      <c r="Q92" s="357">
        <f t="shared" ca="1" si="48"/>
        <v>753.74999999999989</v>
      </c>
      <c r="R92" s="359">
        <f t="shared" ca="1" si="49"/>
        <v>0.37827200649057252</v>
      </c>
      <c r="S92" s="360">
        <f t="shared" ca="1" si="50"/>
        <v>9.3349470099156129</v>
      </c>
      <c r="T92" s="357">
        <f t="shared" ca="1" si="30"/>
        <v>91.575830167272173</v>
      </c>
      <c r="U92" s="364">
        <f t="shared" ca="1" si="31"/>
        <v>0</v>
      </c>
      <c r="V92" s="359">
        <f t="shared" ca="1" si="32"/>
        <v>1.2215967342470759</v>
      </c>
      <c r="W92" s="357">
        <f t="shared" ca="1" si="33"/>
        <v>11.513375772954152</v>
      </c>
      <c r="X92" s="343"/>
      <c r="Y92" s="367" t="str">
        <f t="shared" ca="1" si="51"/>
        <v/>
      </c>
      <c r="Z92" s="368" t="str">
        <f t="shared" ca="1" si="52"/>
        <v/>
      </c>
      <c r="AA92" s="369" t="str">
        <f t="shared" ca="1" si="53"/>
        <v/>
      </c>
      <c r="AB92" s="344"/>
      <c r="AC92" s="363" t="e">
        <f t="shared" ca="1" si="54"/>
        <v>#N/A</v>
      </c>
      <c r="AD92" s="376" t="e">
        <f t="shared" ca="1" si="55"/>
        <v>#N/A</v>
      </c>
      <c r="AE92" s="377">
        <f t="shared" ca="1" si="34"/>
        <v>27.820406242566154</v>
      </c>
      <c r="AF92" s="344"/>
      <c r="AG92" s="359">
        <f t="shared" ca="1" si="56"/>
        <v>69.916933195374753</v>
      </c>
      <c r="AH92" s="357">
        <f t="shared" ca="1" si="57"/>
        <v>79.538112205004381</v>
      </c>
    </row>
    <row r="93" spans="1:34" x14ac:dyDescent="0.25">
      <c r="A93" s="402">
        <f t="shared" ca="1" si="35"/>
        <v>0.01</v>
      </c>
      <c r="B93" s="357">
        <f t="shared" ca="1" si="36"/>
        <v>0.89000000000000057</v>
      </c>
      <c r="C93" s="342"/>
      <c r="D93" s="359">
        <f t="shared" ca="1" si="37"/>
        <v>15.529877249819542</v>
      </c>
      <c r="E93" s="360">
        <f t="shared" ca="1" si="38"/>
        <v>68.074114047489985</v>
      </c>
      <c r="F93" s="357">
        <f t="shared" ca="1" si="39"/>
        <v>69.823077064428603</v>
      </c>
      <c r="G93" s="359">
        <f t="shared" ca="1" si="40"/>
        <v>12.77358399907826</v>
      </c>
      <c r="H93" s="360">
        <f t="shared" ca="1" si="41"/>
        <v>63.962887538775611</v>
      </c>
      <c r="I93" s="357">
        <f t="shared" ca="1" si="42"/>
        <v>65.225880066730909</v>
      </c>
      <c r="J93" s="359">
        <f t="shared" ca="1" si="43"/>
        <v>5.3779190599059863</v>
      </c>
      <c r="K93" s="360">
        <f t="shared" ca="1" si="44"/>
        <v>28.456631412251536</v>
      </c>
      <c r="L93" s="357">
        <f t="shared" ca="1" si="29"/>
        <v>28.960350217972866</v>
      </c>
      <c r="M93" s="359">
        <f t="shared" ca="1" si="45"/>
        <v>1.3736863080186839</v>
      </c>
      <c r="N93" s="357">
        <f t="shared" ca="1" si="46"/>
        <v>78.706427824378594</v>
      </c>
      <c r="O93" s="343"/>
      <c r="P93" s="363">
        <f t="shared" ca="1" si="47"/>
        <v>3</v>
      </c>
      <c r="Q93" s="357">
        <f t="shared" ca="1" si="48"/>
        <v>752.56999999999994</v>
      </c>
      <c r="R93" s="359">
        <f t="shared" ca="1" si="49"/>
        <v>0.37767981946880291</v>
      </c>
      <c r="S93" s="360">
        <f t="shared" ca="1" si="50"/>
        <v>9.3311702117209254</v>
      </c>
      <c r="T93" s="357">
        <f t="shared" ca="1" si="30"/>
        <v>91.538779776982281</v>
      </c>
      <c r="U93" s="364">
        <f t="shared" ca="1" si="31"/>
        <v>0</v>
      </c>
      <c r="V93" s="359">
        <f t="shared" ca="1" si="32"/>
        <v>1.2215190155066331</v>
      </c>
      <c r="W93" s="357">
        <f t="shared" ca="1" si="33"/>
        <v>11.763044638273866</v>
      </c>
      <c r="X93" s="343"/>
      <c r="Y93" s="367" t="str">
        <f t="shared" ca="1" si="51"/>
        <v/>
      </c>
      <c r="Z93" s="368" t="str">
        <f t="shared" ca="1" si="52"/>
        <v/>
      </c>
      <c r="AA93" s="369" t="str">
        <f t="shared" ca="1" si="53"/>
        <v/>
      </c>
      <c r="AB93" s="344"/>
      <c r="AC93" s="363" t="e">
        <f t="shared" ca="1" si="54"/>
        <v>#N/A</v>
      </c>
      <c r="AD93" s="376" t="e">
        <f t="shared" ca="1" si="55"/>
        <v>#N/A</v>
      </c>
      <c r="AE93" s="377">
        <f t="shared" ca="1" si="34"/>
        <v>28.456631412251536</v>
      </c>
      <c r="AF93" s="344"/>
      <c r="AG93" s="359">
        <f t="shared" ca="1" si="56"/>
        <v>69.796720033033012</v>
      </c>
      <c r="AH93" s="357">
        <f t="shared" ca="1" si="57"/>
        <v>79.417330025359647</v>
      </c>
    </row>
    <row r="94" spans="1:34" x14ac:dyDescent="0.25">
      <c r="A94" s="402">
        <f t="shared" ca="1" si="35"/>
        <v>0.01</v>
      </c>
      <c r="B94" s="357">
        <f t="shared" ca="1" si="36"/>
        <v>0.90000000000000058</v>
      </c>
      <c r="C94" s="342"/>
      <c r="D94" s="359">
        <f t="shared" ca="1" si="37"/>
        <v>15.529053295355467</v>
      </c>
      <c r="E94" s="360">
        <f t="shared" ca="1" si="38"/>
        <v>67.950720059941688</v>
      </c>
      <c r="F94" s="357">
        <f t="shared" ca="1" si="39"/>
        <v>69.702595740148396</v>
      </c>
      <c r="G94" s="359">
        <f t="shared" ca="1" si="40"/>
        <v>12.928874532031815</v>
      </c>
      <c r="H94" s="360">
        <f t="shared" ca="1" si="41"/>
        <v>64.642394739375021</v>
      </c>
      <c r="I94" s="357">
        <f t="shared" ca="1" si="42"/>
        <v>65.922644017865366</v>
      </c>
      <c r="J94" s="359">
        <f t="shared" ca="1" si="43"/>
        <v>5.5064313525615365</v>
      </c>
      <c r="K94" s="360">
        <f t="shared" ca="1" si="44"/>
        <v>29.099657823642289</v>
      </c>
      <c r="L94" s="357">
        <f t="shared" ca="1" si="29"/>
        <v>29.616057666298843</v>
      </c>
      <c r="M94" s="359">
        <f t="shared" ca="1" si="45"/>
        <v>1.3733948827426214</v>
      </c>
      <c r="N94" s="357">
        <f t="shared" ca="1" si="46"/>
        <v>78.689730386016791</v>
      </c>
      <c r="O94" s="343"/>
      <c r="P94" s="363">
        <f t="shared" ca="1" si="47"/>
        <v>3</v>
      </c>
      <c r="Q94" s="357">
        <f t="shared" ca="1" si="48"/>
        <v>751.38999999999987</v>
      </c>
      <c r="R94" s="359">
        <f t="shared" ca="1" si="49"/>
        <v>0.37708763244703325</v>
      </c>
      <c r="S94" s="360">
        <f t="shared" ca="1" si="50"/>
        <v>9.3273993353964553</v>
      </c>
      <c r="T94" s="357">
        <f t="shared" ca="1" si="30"/>
        <v>91.50178748023923</v>
      </c>
      <c r="U94" s="364">
        <f t="shared" ca="1" si="31"/>
        <v>0</v>
      </c>
      <c r="V94" s="359">
        <f t="shared" ca="1" si="32"/>
        <v>1.2214404709704427</v>
      </c>
      <c r="W94" s="357">
        <f t="shared" ca="1" si="33"/>
        <v>12.014927621448994</v>
      </c>
      <c r="X94" s="343"/>
      <c r="Y94" s="367" t="str">
        <f t="shared" ca="1" si="51"/>
        <v/>
      </c>
      <c r="Z94" s="368" t="str">
        <f t="shared" ca="1" si="52"/>
        <v/>
      </c>
      <c r="AA94" s="369" t="str">
        <f t="shared" ca="1" si="53"/>
        <v/>
      </c>
      <c r="AB94" s="344"/>
      <c r="AC94" s="363" t="e">
        <f t="shared" ca="1" si="54"/>
        <v>#N/A</v>
      </c>
      <c r="AD94" s="376" t="e">
        <f t="shared" ca="1" si="55"/>
        <v>#N/A</v>
      </c>
      <c r="AE94" s="377">
        <f t="shared" ca="1" si="34"/>
        <v>29.099657823642289</v>
      </c>
      <c r="AF94" s="344"/>
      <c r="AG94" s="359">
        <f t="shared" ca="1" si="56"/>
        <v>69.676115177253422</v>
      </c>
      <c r="AH94" s="357">
        <f t="shared" ca="1" si="57"/>
        <v>79.296160565884961</v>
      </c>
    </row>
    <row r="95" spans="1:34" x14ac:dyDescent="0.25">
      <c r="A95" s="402">
        <f t="shared" ca="1" si="35"/>
        <v>0.01</v>
      </c>
      <c r="B95" s="357">
        <f t="shared" ca="1" si="36"/>
        <v>0.91000000000000059</v>
      </c>
      <c r="C95" s="342"/>
      <c r="D95" s="359">
        <f t="shared" ca="1" si="37"/>
        <v>15.527874431032723</v>
      </c>
      <c r="E95" s="360">
        <f t="shared" ca="1" si="38"/>
        <v>67.82699662700044</v>
      </c>
      <c r="F95" s="357">
        <f t="shared" ca="1" si="39"/>
        <v>69.581724294422656</v>
      </c>
      <c r="G95" s="359">
        <f t="shared" ca="1" si="40"/>
        <v>13.084153276342143</v>
      </c>
      <c r="H95" s="360">
        <f t="shared" ca="1" si="41"/>
        <v>65.320664705645029</v>
      </c>
      <c r="I95" s="357">
        <f t="shared" ca="1" si="42"/>
        <v>66.618197998340619</v>
      </c>
      <c r="J95" s="359">
        <f t="shared" ca="1" si="43"/>
        <v>5.6364964916034062</v>
      </c>
      <c r="K95" s="360">
        <f t="shared" ca="1" si="44"/>
        <v>29.749473120867389</v>
      </c>
      <c r="L95" s="357">
        <f t="shared" ca="1" si="29"/>
        <v>30.278725925459096</v>
      </c>
      <c r="M95" s="359">
        <f t="shared" ca="1" si="45"/>
        <v>1.3731060793865881</v>
      </c>
      <c r="N95" s="357">
        <f t="shared" ca="1" si="46"/>
        <v>78.673183172606869</v>
      </c>
      <c r="O95" s="343"/>
      <c r="P95" s="363">
        <f t="shared" ca="1" si="47"/>
        <v>3</v>
      </c>
      <c r="Q95" s="357">
        <f t="shared" ca="1" si="48"/>
        <v>750.20999999999992</v>
      </c>
      <c r="R95" s="359">
        <f t="shared" ca="1" si="49"/>
        <v>0.37649544542526359</v>
      </c>
      <c r="S95" s="360">
        <f t="shared" ca="1" si="50"/>
        <v>9.3236343809422024</v>
      </c>
      <c r="T95" s="357">
        <f t="shared" ca="1" si="30"/>
        <v>91.464853277043005</v>
      </c>
      <c r="U95" s="364">
        <f t="shared" ca="1" si="31"/>
        <v>0</v>
      </c>
      <c r="V95" s="359">
        <f t="shared" ca="1" si="32"/>
        <v>1.2213611023071489</v>
      </c>
      <c r="W95" s="357">
        <f t="shared" ca="1" si="33"/>
        <v>12.269008416214316</v>
      </c>
      <c r="X95" s="343"/>
      <c r="Y95" s="367" t="str">
        <f t="shared" ca="1" si="51"/>
        <v/>
      </c>
      <c r="Z95" s="368" t="str">
        <f t="shared" ca="1" si="52"/>
        <v/>
      </c>
      <c r="AA95" s="369" t="str">
        <f t="shared" ca="1" si="53"/>
        <v/>
      </c>
      <c r="AB95" s="344"/>
      <c r="AC95" s="363" t="e">
        <f t="shared" ca="1" si="54"/>
        <v>#N/A</v>
      </c>
      <c r="AD95" s="376" t="e">
        <f t="shared" ca="1" si="55"/>
        <v>#N/A</v>
      </c>
      <c r="AE95" s="377">
        <f t="shared" ca="1" si="34"/>
        <v>29.749473120867389</v>
      </c>
      <c r="AF95" s="344"/>
      <c r="AG95" s="359">
        <f t="shared" ca="1" si="56"/>
        <v>69.555120225064996</v>
      </c>
      <c r="AH95" s="357">
        <f t="shared" ca="1" si="57"/>
        <v>79.174605332813613</v>
      </c>
    </row>
    <row r="96" spans="1:34" x14ac:dyDescent="0.25">
      <c r="A96" s="402">
        <f t="shared" ca="1" si="35"/>
        <v>0.01</v>
      </c>
      <c r="B96" s="357">
        <f t="shared" ca="1" si="36"/>
        <v>0.9200000000000006</v>
      </c>
      <c r="C96" s="342"/>
      <c r="D96" s="359">
        <f t="shared" ca="1" si="37"/>
        <v>15.52634607107178</v>
      </c>
      <c r="E96" s="360">
        <f t="shared" ca="1" si="38"/>
        <v>67.702944429203484</v>
      </c>
      <c r="F96" s="357">
        <f t="shared" ca="1" si="39"/>
        <v>69.460464342692816</v>
      </c>
      <c r="G96" s="359">
        <f t="shared" ca="1" si="40"/>
        <v>13.23941673705286</v>
      </c>
      <c r="H96" s="360">
        <f t="shared" ca="1" si="41"/>
        <v>65.997694149937061</v>
      </c>
      <c r="I96" s="357">
        <f t="shared" ca="1" si="42"/>
        <v>67.312538123636315</v>
      </c>
      <c r="J96" s="359">
        <f t="shared" ca="1" si="43"/>
        <v>5.7681143416703815</v>
      </c>
      <c r="K96" s="360">
        <f t="shared" ca="1" si="44"/>
        <v>30.406064915145301</v>
      </c>
      <c r="L96" s="357">
        <f t="shared" ca="1" si="29"/>
        <v>30.948342874580757</v>
      </c>
      <c r="M96" s="359">
        <f t="shared" ca="1" si="45"/>
        <v>1.372819842375169</v>
      </c>
      <c r="N96" s="357">
        <f t="shared" ca="1" si="46"/>
        <v>78.65678299991211</v>
      </c>
      <c r="O96" s="343"/>
      <c r="P96" s="363">
        <f t="shared" ca="1" si="47"/>
        <v>3</v>
      </c>
      <c r="Q96" s="357">
        <f t="shared" ca="1" si="48"/>
        <v>749.03</v>
      </c>
      <c r="R96" s="359">
        <f t="shared" ca="1" si="49"/>
        <v>0.37590325840349398</v>
      </c>
      <c r="S96" s="360">
        <f t="shared" ca="1" si="50"/>
        <v>9.3198753483581669</v>
      </c>
      <c r="T96" s="357">
        <f t="shared" ca="1" si="30"/>
        <v>91.427977167393621</v>
      </c>
      <c r="U96" s="364">
        <f t="shared" ca="1" si="31"/>
        <v>0</v>
      </c>
      <c r="V96" s="359">
        <f t="shared" ca="1" si="32"/>
        <v>1.2212809111906826</v>
      </c>
      <c r="W96" s="357">
        <f t="shared" ca="1" si="33"/>
        <v>12.525270682846838</v>
      </c>
      <c r="X96" s="343"/>
      <c r="Y96" s="367" t="str">
        <f t="shared" ca="1" si="51"/>
        <v/>
      </c>
      <c r="Z96" s="368" t="str">
        <f t="shared" ca="1" si="52"/>
        <v/>
      </c>
      <c r="AA96" s="369" t="str">
        <f t="shared" ca="1" si="53"/>
        <v/>
      </c>
      <c r="AB96" s="344"/>
      <c r="AC96" s="363" t="e">
        <f t="shared" ca="1" si="54"/>
        <v>#N/A</v>
      </c>
      <c r="AD96" s="376" t="e">
        <f t="shared" ca="1" si="55"/>
        <v>#N/A</v>
      </c>
      <c r="AE96" s="377">
        <f t="shared" ca="1" si="34"/>
        <v>30.406064915145301</v>
      </c>
      <c r="AF96" s="344"/>
      <c r="AG96" s="359">
        <f t="shared" ca="1" si="56"/>
        <v>69.433736778283489</v>
      </c>
      <c r="AH96" s="357">
        <f t="shared" ca="1" si="57"/>
        <v>79.052665839954287</v>
      </c>
    </row>
    <row r="97" spans="1:34" x14ac:dyDescent="0.25">
      <c r="A97" s="402">
        <f t="shared" ca="1" si="35"/>
        <v>0.01</v>
      </c>
      <c r="B97" s="357">
        <f t="shared" ca="1" si="36"/>
        <v>0.9300000000000006</v>
      </c>
      <c r="C97" s="342"/>
      <c r="D97" s="359">
        <f t="shared" ca="1" si="37"/>
        <v>15.524473469027091</v>
      </c>
      <c r="E97" s="360">
        <f t="shared" ca="1" si="38"/>
        <v>67.578564178978866</v>
      </c>
      <c r="F97" s="357">
        <f t="shared" ca="1" si="39"/>
        <v>69.338817504936515</v>
      </c>
      <c r="G97" s="359">
        <f t="shared" ca="1" si="40"/>
        <v>13.394661471743131</v>
      </c>
      <c r="H97" s="360">
        <f t="shared" ca="1" si="41"/>
        <v>66.673479791726848</v>
      </c>
      <c r="I97" s="357">
        <f t="shared" ca="1" si="42"/>
        <v>68.005660525285748</v>
      </c>
      <c r="J97" s="359">
        <f t="shared" ca="1" si="43"/>
        <v>5.9012847327143616</v>
      </c>
      <c r="K97" s="360">
        <f t="shared" ca="1" si="44"/>
        <v>31.069420784853619</v>
      </c>
      <c r="L97" s="357">
        <f t="shared" ca="1" si="29"/>
        <v>31.624896354025598</v>
      </c>
      <c r="M97" s="359">
        <f t="shared" ca="1" si="45"/>
        <v>1.372536117877301</v>
      </c>
      <c r="N97" s="357">
        <f t="shared" ca="1" si="46"/>
        <v>78.640526783639814</v>
      </c>
      <c r="O97" s="343"/>
      <c r="P97" s="363">
        <f t="shared" ca="1" si="47"/>
        <v>3</v>
      </c>
      <c r="Q97" s="357">
        <f t="shared" ca="1" si="48"/>
        <v>747.84999999999991</v>
      </c>
      <c r="R97" s="359">
        <f t="shared" ca="1" si="49"/>
        <v>0.37531107138172431</v>
      </c>
      <c r="S97" s="360">
        <f t="shared" ca="1" si="50"/>
        <v>9.3161222376443504</v>
      </c>
      <c r="T97" s="357">
        <f t="shared" ca="1" si="30"/>
        <v>91.391159151291077</v>
      </c>
      <c r="U97" s="364">
        <f t="shared" ca="1" si="31"/>
        <v>0</v>
      </c>
      <c r="V97" s="359">
        <f t="shared" ca="1" si="32"/>
        <v>1.2211998993002386</v>
      </c>
      <c r="W97" s="357">
        <f t="shared" ca="1" si="33"/>
        <v>12.783698048901496</v>
      </c>
      <c r="X97" s="343"/>
      <c r="Y97" s="367" t="str">
        <f t="shared" ca="1" si="51"/>
        <v/>
      </c>
      <c r="Z97" s="368" t="str">
        <f t="shared" ca="1" si="52"/>
        <v/>
      </c>
      <c r="AA97" s="369" t="str">
        <f t="shared" ca="1" si="53"/>
        <v/>
      </c>
      <c r="AB97" s="344"/>
      <c r="AC97" s="363" t="e">
        <f t="shared" ca="1" si="54"/>
        <v>#N/A</v>
      </c>
      <c r="AD97" s="376" t="e">
        <f t="shared" ca="1" si="55"/>
        <v>#N/A</v>
      </c>
      <c r="AE97" s="377">
        <f t="shared" ca="1" si="34"/>
        <v>31.069420784853619</v>
      </c>
      <c r="AF97" s="344"/>
      <c r="AG97" s="359">
        <f t="shared" ca="1" si="56"/>
        <v>69.311966443553715</v>
      </c>
      <c r="AH97" s="357">
        <f t="shared" ca="1" si="57"/>
        <v>78.930343608617704</v>
      </c>
    </row>
    <row r="98" spans="1:34" x14ac:dyDescent="0.25">
      <c r="A98" s="402">
        <f t="shared" ca="1" si="35"/>
        <v>0.01</v>
      </c>
      <c r="B98" s="357">
        <f t="shared" ca="1" si="36"/>
        <v>0.94000000000000061</v>
      </c>
      <c r="C98" s="342"/>
      <c r="D98" s="359">
        <f t="shared" ca="1" si="37"/>
        <v>15.522261724650079</v>
      </c>
      <c r="E98" s="360">
        <f t="shared" ca="1" si="38"/>
        <v>67.45385661956341</v>
      </c>
      <c r="F98" s="357">
        <f t="shared" ca="1" si="39"/>
        <v>69.216785405717559</v>
      </c>
      <c r="G98" s="359">
        <f t="shared" ca="1" si="40"/>
        <v>13.549884088989632</v>
      </c>
      <c r="H98" s="360">
        <f t="shared" ca="1" si="41"/>
        <v>67.348018357922484</v>
      </c>
      <c r="I98" s="357">
        <f t="shared" ca="1" si="42"/>
        <v>68.697561350925099</v>
      </c>
      <c r="J98" s="359">
        <f t="shared" ca="1" si="43"/>
        <v>6.0360074605180252</v>
      </c>
      <c r="K98" s="360">
        <f t="shared" ca="1" si="44"/>
        <v>31.739528275601867</v>
      </c>
      <c r="L98" s="357">
        <f t="shared" ca="1" si="29"/>
        <v>32.308374165549708</v>
      </c>
      <c r="M98" s="359">
        <f t="shared" ca="1" si="45"/>
        <v>1.3722548537331893</v>
      </c>
      <c r="N98" s="357">
        <f t="shared" ca="1" si="46"/>
        <v>78.624411535253856</v>
      </c>
      <c r="O98" s="343"/>
      <c r="P98" s="363">
        <f t="shared" ca="1" si="47"/>
        <v>3</v>
      </c>
      <c r="Q98" s="357">
        <f t="shared" ca="1" si="48"/>
        <v>746.67</v>
      </c>
      <c r="R98" s="359">
        <f t="shared" ca="1" si="49"/>
        <v>0.37471888435995465</v>
      </c>
      <c r="S98" s="360">
        <f t="shared" ca="1" si="50"/>
        <v>9.3123750488007513</v>
      </c>
      <c r="T98" s="357">
        <f t="shared" ca="1" si="30"/>
        <v>91.354399228735375</v>
      </c>
      <c r="U98" s="364">
        <f t="shared" ca="1" si="31"/>
        <v>0</v>
      </c>
      <c r="V98" s="359">
        <f t="shared" ca="1" si="32"/>
        <v>1.2211180683202545</v>
      </c>
      <c r="W98" s="357">
        <f t="shared" ca="1" si="33"/>
        <v>13.044274109947132</v>
      </c>
      <c r="X98" s="343"/>
      <c r="Y98" s="367" t="str">
        <f t="shared" ca="1" si="51"/>
        <v/>
      </c>
      <c r="Z98" s="368" t="str">
        <f t="shared" ca="1" si="52"/>
        <v/>
      </c>
      <c r="AA98" s="369" t="str">
        <f t="shared" ca="1" si="53"/>
        <v/>
      </c>
      <c r="AB98" s="344"/>
      <c r="AC98" s="363" t="e">
        <f t="shared" ca="1" si="54"/>
        <v>#N/A</v>
      </c>
      <c r="AD98" s="376" t="e">
        <f t="shared" ca="1" si="55"/>
        <v>#N/A</v>
      </c>
      <c r="AE98" s="377">
        <f t="shared" ca="1" si="34"/>
        <v>31.739528275601867</v>
      </c>
      <c r="AF98" s="344"/>
      <c r="AG98" s="359">
        <f t="shared" ca="1" si="56"/>
        <v>69.189810832386058</v>
      </c>
      <c r="AH98" s="357">
        <f t="shared" ca="1" si="57"/>
        <v>78.80764016754334</v>
      </c>
    </row>
    <row r="99" spans="1:34" x14ac:dyDescent="0.25">
      <c r="A99" s="402">
        <f t="shared" ca="1" si="35"/>
        <v>0.01</v>
      </c>
      <c r="B99" s="357">
        <f t="shared" ca="1" si="36"/>
        <v>0.95000000000000062</v>
      </c>
      <c r="C99" s="342"/>
      <c r="D99" s="359">
        <f t="shared" ca="1" si="37"/>
        <v>15.519715790390535</v>
      </c>
      <c r="E99" s="360">
        <f t="shared" ca="1" si="38"/>
        <v>67.328822523971851</v>
      </c>
      <c r="F99" s="357">
        <f t="shared" ca="1" si="39"/>
        <v>69.094369674228858</v>
      </c>
      <c r="G99" s="359">
        <f t="shared" ca="1" si="40"/>
        <v>13.705081246893538</v>
      </c>
      <c r="H99" s="360">
        <f t="shared" ca="1" si="41"/>
        <v>68.0213065831622</v>
      </c>
      <c r="I99" s="357">
        <f t="shared" ca="1" si="42"/>
        <v>69.388236764342835</v>
      </c>
      <c r="J99" s="359">
        <f t="shared" ca="1" si="43"/>
        <v>6.172282287197441</v>
      </c>
      <c r="K99" s="360">
        <f t="shared" ca="1" si="44"/>
        <v>32.416374900307289</v>
      </c>
      <c r="L99" s="357">
        <f t="shared" ca="1" si="29"/>
        <v>32.998764072463743</v>
      </c>
      <c r="M99" s="359">
        <f t="shared" ca="1" si="45"/>
        <v>1.3719759993850327</v>
      </c>
      <c r="N99" s="357">
        <f t="shared" ca="1" si="46"/>
        <v>78.608434358005596</v>
      </c>
      <c r="O99" s="343"/>
      <c r="P99" s="363">
        <f t="shared" ca="1" si="47"/>
        <v>3</v>
      </c>
      <c r="Q99" s="357">
        <f t="shared" ca="1" si="48"/>
        <v>745.4899999999999</v>
      </c>
      <c r="R99" s="359">
        <f t="shared" ca="1" si="49"/>
        <v>0.37412669733818499</v>
      </c>
      <c r="S99" s="360">
        <f t="shared" ca="1" si="50"/>
        <v>9.3086337818273694</v>
      </c>
      <c r="T99" s="357">
        <f t="shared" ca="1" si="30"/>
        <v>91.317697399726498</v>
      </c>
      <c r="U99" s="364">
        <f t="shared" ca="1" si="31"/>
        <v>0</v>
      </c>
      <c r="V99" s="359">
        <f t="shared" ca="1" si="32"/>
        <v>1.2210354199403894</v>
      </c>
      <c r="W99" s="357">
        <f t="shared" ca="1" si="33"/>
        <v>13.306982430302638</v>
      </c>
      <c r="X99" s="343"/>
      <c r="Y99" s="367" t="str">
        <f t="shared" ca="1" si="51"/>
        <v/>
      </c>
      <c r="Z99" s="368" t="str">
        <f t="shared" ca="1" si="52"/>
        <v/>
      </c>
      <c r="AA99" s="369" t="str">
        <f t="shared" ca="1" si="53"/>
        <v/>
      </c>
      <c r="AB99" s="344"/>
      <c r="AC99" s="363" t="e">
        <f t="shared" ca="1" si="54"/>
        <v>#N/A</v>
      </c>
      <c r="AD99" s="376" t="e">
        <f t="shared" ca="1" si="55"/>
        <v>#N/A</v>
      </c>
      <c r="AE99" s="377">
        <f t="shared" ca="1" si="34"/>
        <v>32.416374900307289</v>
      </c>
      <c r="AF99" s="344"/>
      <c r="AG99" s="359">
        <f t="shared" ca="1" si="56"/>
        <v>69.067271561186516</v>
      </c>
      <c r="AH99" s="357">
        <f t="shared" ca="1" si="57"/>
        <v>78.684557052825326</v>
      </c>
    </row>
    <row r="100" spans="1:34" x14ac:dyDescent="0.25">
      <c r="A100" s="402">
        <f t="shared" ca="1" si="35"/>
        <v>0.01</v>
      </c>
      <c r="B100" s="357">
        <f t="shared" ca="1" si="36"/>
        <v>0.96000000000000063</v>
      </c>
      <c r="C100" s="342"/>
      <c r="D100" s="359">
        <f t="shared" ca="1" si="37"/>
        <v>15.516840477559178</v>
      </c>
      <c r="E100" s="360">
        <f t="shared" ca="1" si="38"/>
        <v>67.203462694014533</v>
      </c>
      <c r="F100" s="357">
        <f t="shared" ca="1" si="39"/>
        <v>68.971571944329511</v>
      </c>
      <c r="G100" s="359">
        <f t="shared" ca="1" si="40"/>
        <v>13.860249651669131</v>
      </c>
      <c r="H100" s="360">
        <f t="shared" ca="1" si="41"/>
        <v>68.693341210102346</v>
      </c>
      <c r="I100" s="357">
        <f t="shared" ca="1" si="42"/>
        <v>70.077682945529389</v>
      </c>
      <c r="J100" s="359">
        <f t="shared" ca="1" si="43"/>
        <v>6.3101089416902543</v>
      </c>
      <c r="K100" s="360">
        <f t="shared" ca="1" si="44"/>
        <v>33.099948139273614</v>
      </c>
      <c r="L100" s="357">
        <f t="shared" ca="1" si="29"/>
        <v>33.696053799793859</v>
      </c>
      <c r="M100" s="359">
        <f t="shared" ca="1" si="45"/>
        <v>1.371699505811323</v>
      </c>
      <c r="N100" s="357">
        <f t="shared" ca="1" si="46"/>
        <v>78.592592443169551</v>
      </c>
      <c r="O100" s="343"/>
      <c r="P100" s="363">
        <f t="shared" ca="1" si="47"/>
        <v>3</v>
      </c>
      <c r="Q100" s="357">
        <f t="shared" ca="1" si="48"/>
        <v>744.31</v>
      </c>
      <c r="R100" s="359">
        <f t="shared" ca="1" si="49"/>
        <v>0.37353451031641538</v>
      </c>
      <c r="S100" s="360">
        <f t="shared" ca="1" si="50"/>
        <v>9.3048984367242049</v>
      </c>
      <c r="T100" s="357">
        <f t="shared" ca="1" si="30"/>
        <v>91.281053664264448</v>
      </c>
      <c r="U100" s="364">
        <f t="shared" ca="1" si="31"/>
        <v>0</v>
      </c>
      <c r="V100" s="359">
        <f t="shared" ca="1" si="32"/>
        <v>1.2209519558555018</v>
      </c>
      <c r="W100" s="357">
        <f t="shared" ca="1" si="33"/>
        <v>13.571806543773205</v>
      </c>
      <c r="X100" s="343"/>
      <c r="Y100" s="367" t="str">
        <f t="shared" ca="1" si="51"/>
        <v/>
      </c>
      <c r="Z100" s="368" t="str">
        <f t="shared" ca="1" si="52"/>
        <v/>
      </c>
      <c r="AA100" s="369" t="str">
        <f t="shared" ca="1" si="53"/>
        <v/>
      </c>
      <c r="AB100" s="344"/>
      <c r="AC100" s="363" t="e">
        <f t="shared" ca="1" si="54"/>
        <v>#N/A</v>
      </c>
      <c r="AD100" s="376" t="e">
        <f t="shared" ca="1" si="55"/>
        <v>#N/A</v>
      </c>
      <c r="AE100" s="377">
        <f t="shared" ca="1" si="34"/>
        <v>33.099948139273614</v>
      </c>
      <c r="AF100" s="344"/>
      <c r="AG100" s="359">
        <f t="shared" ca="1" si="56"/>
        <v>68.944350251281506</v>
      </c>
      <c r="AH100" s="357">
        <f t="shared" ca="1" si="57"/>
        <v>78.561095807838541</v>
      </c>
    </row>
    <row r="101" spans="1:34" x14ac:dyDescent="0.25">
      <c r="A101" s="402">
        <f t="shared" ca="1" si="35"/>
        <v>0.01</v>
      </c>
      <c r="B101" s="357">
        <f t="shared" ca="1" si="36"/>
        <v>0.97000000000000064</v>
      </c>
      <c r="C101" s="342"/>
      <c r="D101" s="359">
        <f t="shared" ca="1" si="37"/>
        <v>15.51364046217212</v>
      </c>
      <c r="E101" s="360">
        <f t="shared" ca="1" si="38"/>
        <v>67.077777959360446</v>
      </c>
      <c r="F101" s="357">
        <f t="shared" ca="1" si="39"/>
        <v>68.848393854575917</v>
      </c>
      <c r="G101" s="359">
        <f t="shared" ca="1" si="40"/>
        <v>14.015386056290852</v>
      </c>
      <c r="H101" s="360">
        <f t="shared" ca="1" si="41"/>
        <v>69.364118989695953</v>
      </c>
      <c r="I101" s="357">
        <f t="shared" ca="1" si="42"/>
        <v>70.765896090726997</v>
      </c>
      <c r="J101" s="359">
        <f t="shared" ca="1" si="43"/>
        <v>6.4494871202300539</v>
      </c>
      <c r="K101" s="360">
        <f t="shared" ca="1" si="44"/>
        <v>33.790235440272603</v>
      </c>
      <c r="L101" s="357">
        <f t="shared" ca="1" si="29"/>
        <v>34.400231034443188</v>
      </c>
      <c r="M101" s="359">
        <f t="shared" ca="1" si="45"/>
        <v>1.371425325464497</v>
      </c>
      <c r="N101" s="357">
        <f t="shared" ca="1" si="46"/>
        <v>78.576883066470984</v>
      </c>
      <c r="O101" s="343"/>
      <c r="P101" s="363">
        <f t="shared" ca="1" si="47"/>
        <v>3</v>
      </c>
      <c r="Q101" s="357">
        <f t="shared" ca="1" si="48"/>
        <v>743.12999999999988</v>
      </c>
      <c r="R101" s="359">
        <f t="shared" ca="1" si="49"/>
        <v>0.37294232329464566</v>
      </c>
      <c r="S101" s="360">
        <f t="shared" ca="1" si="50"/>
        <v>9.3011690134912577</v>
      </c>
      <c r="T101" s="357">
        <f t="shared" ca="1" si="30"/>
        <v>91.244468022349238</v>
      </c>
      <c r="U101" s="364">
        <f t="shared" ca="1" si="31"/>
        <v>0</v>
      </c>
      <c r="V101" s="359">
        <f t="shared" ca="1" si="32"/>
        <v>1.2208676777656275</v>
      </c>
      <c r="W101" s="357">
        <f t="shared" ca="1" si="33"/>
        <v>13.838729954386681</v>
      </c>
      <c r="X101" s="343"/>
      <c r="Y101" s="367" t="str">
        <f t="shared" ca="1" si="51"/>
        <v/>
      </c>
      <c r="Z101" s="368" t="str">
        <f t="shared" ca="1" si="52"/>
        <v/>
      </c>
      <c r="AA101" s="369" t="str">
        <f t="shared" ca="1" si="53"/>
        <v/>
      </c>
      <c r="AB101" s="344"/>
      <c r="AC101" s="363" t="e">
        <f t="shared" ca="1" si="54"/>
        <v>#N/A</v>
      </c>
      <c r="AD101" s="376" t="e">
        <f t="shared" ca="1" si="55"/>
        <v>#N/A</v>
      </c>
      <c r="AE101" s="377">
        <f t="shared" ca="1" si="34"/>
        <v>33.790235440272603</v>
      </c>
      <c r="AF101" s="344"/>
      <c r="AG101" s="359">
        <f t="shared" ca="1" si="56"/>
        <v>68.821048528937467</v>
      </c>
      <c r="AH101" s="357">
        <f t="shared" ca="1" si="57"/>
        <v>78.437257983164216</v>
      </c>
    </row>
    <row r="102" spans="1:34" x14ac:dyDescent="0.25">
      <c r="A102" s="402">
        <f t="shared" ca="1" si="35"/>
        <v>0.01</v>
      </c>
      <c r="B102" s="357">
        <f t="shared" ca="1" si="36"/>
        <v>0.98000000000000065</v>
      </c>
      <c r="C102" s="342"/>
      <c r="D102" s="359">
        <f t="shared" ca="1" si="37"/>
        <v>15.510120290497085</v>
      </c>
      <c r="E102" s="360">
        <f t="shared" ca="1" si="38"/>
        <v>66.951769176642827</v>
      </c>
      <c r="F102" s="357">
        <f t="shared" ca="1" si="39"/>
        <v>68.724837048247338</v>
      </c>
      <c r="G102" s="359">
        <f t="shared" ca="1" si="40"/>
        <v>14.170487259195824</v>
      </c>
      <c r="H102" s="360">
        <f t="shared" ca="1" si="41"/>
        <v>70.033636681462383</v>
      </c>
      <c r="I102" s="357">
        <f t="shared" ca="1" si="42"/>
        <v>71.452872412479721</v>
      </c>
      <c r="J102" s="359">
        <f t="shared" ca="1" si="43"/>
        <v>6.590416486807487</v>
      </c>
      <c r="K102" s="360">
        <f t="shared" ca="1" si="44"/>
        <v>34.487224218628398</v>
      </c>
      <c r="L102" s="357">
        <f t="shared" ca="1" si="29"/>
        <v>35.111283425353925</v>
      </c>
      <c r="M102" s="359">
        <f t="shared" ca="1" si="45"/>
        <v>1.371153412211737</v>
      </c>
      <c r="N102" s="357">
        <f t="shared" ca="1" si="46"/>
        <v>78.561303584694159</v>
      </c>
      <c r="O102" s="343"/>
      <c r="P102" s="363">
        <f t="shared" ca="1" si="47"/>
        <v>3</v>
      </c>
      <c r="Q102" s="357">
        <f t="shared" ca="1" si="48"/>
        <v>741.94999999999993</v>
      </c>
      <c r="R102" s="359">
        <f t="shared" ca="1" si="49"/>
        <v>0.37235013627287605</v>
      </c>
      <c r="S102" s="360">
        <f t="shared" ca="1" si="50"/>
        <v>9.2974455121285295</v>
      </c>
      <c r="T102" s="357">
        <f t="shared" ca="1" si="30"/>
        <v>91.207940473980884</v>
      </c>
      <c r="U102" s="364">
        <f t="shared" ca="1" si="31"/>
        <v>0</v>
      </c>
      <c r="V102" s="359">
        <f t="shared" ca="1" si="32"/>
        <v>1.2207825873759575</v>
      </c>
      <c r="W102" s="357">
        <f t="shared" ca="1" si="33"/>
        <v>14.107736137129985</v>
      </c>
      <c r="X102" s="343"/>
      <c r="Y102" s="367" t="str">
        <f t="shared" ca="1" si="51"/>
        <v/>
      </c>
      <c r="Z102" s="368" t="str">
        <f t="shared" ca="1" si="52"/>
        <v/>
      </c>
      <c r="AA102" s="369" t="str">
        <f t="shared" ca="1" si="53"/>
        <v/>
      </c>
      <c r="AB102" s="344"/>
      <c r="AC102" s="363" t="e">
        <f t="shared" ca="1" si="54"/>
        <v>#N/A</v>
      </c>
      <c r="AD102" s="376" t="e">
        <f t="shared" ca="1" si="55"/>
        <v>#N/A</v>
      </c>
      <c r="AE102" s="377">
        <f t="shared" ca="1" si="34"/>
        <v>34.487224218628398</v>
      </c>
      <c r="AF102" s="344"/>
      <c r="AG102" s="359">
        <f t="shared" ca="1" si="56"/>
        <v>68.697368025375269</v>
      </c>
      <c r="AH102" s="357">
        <f t="shared" ca="1" si="57"/>
        <v>78.313045136515299</v>
      </c>
    </row>
    <row r="103" spans="1:34" x14ac:dyDescent="0.25">
      <c r="A103" s="402">
        <f t="shared" ca="1" si="35"/>
        <v>0.01</v>
      </c>
      <c r="B103" s="357">
        <f t="shared" ca="1" si="36"/>
        <v>0.99000000000000066</v>
      </c>
      <c r="C103" s="342"/>
      <c r="D103" s="359">
        <f t="shared" ca="1" si="37"/>
        <v>15.506284384319249</v>
      </c>
      <c r="E103" s="360">
        <f t="shared" ca="1" si="38"/>
        <v>66.825437228604997</v>
      </c>
      <c r="F103" s="357">
        <f t="shared" ca="1" si="39"/>
        <v>68.600903173366532</v>
      </c>
      <c r="G103" s="359">
        <f t="shared" ca="1" si="40"/>
        <v>14.325550103039015</v>
      </c>
      <c r="H103" s="360">
        <f t="shared" ca="1" si="41"/>
        <v>70.701891053748426</v>
      </c>
      <c r="I103" s="357">
        <f t="shared" ca="1" si="42"/>
        <v>72.138608139683384</v>
      </c>
      <c r="J103" s="359">
        <f t="shared" ca="1" si="43"/>
        <v>6.7328966736186615</v>
      </c>
      <c r="K103" s="360">
        <f t="shared" ca="1" si="44"/>
        <v>35.190901857304453</v>
      </c>
      <c r="L103" s="357">
        <f t="shared" ca="1" si="29"/>
        <v>35.829198583669985</v>
      </c>
      <c r="M103" s="359">
        <f t="shared" ca="1" si="45"/>
        <v>1.3708837212787304</v>
      </c>
      <c r="N103" s="357">
        <f t="shared" ca="1" si="46"/>
        <v>78.545851432459941</v>
      </c>
      <c r="O103" s="343"/>
      <c r="P103" s="363">
        <f t="shared" ca="1" si="47"/>
        <v>3</v>
      </c>
      <c r="Q103" s="357">
        <f t="shared" ca="1" si="48"/>
        <v>740.77</v>
      </c>
      <c r="R103" s="359">
        <f t="shared" ca="1" si="49"/>
        <v>0.37175794925110639</v>
      </c>
      <c r="S103" s="360">
        <f t="shared" ca="1" si="50"/>
        <v>9.2937279326360187</v>
      </c>
      <c r="T103" s="357">
        <f t="shared" ca="1" si="30"/>
        <v>91.171471019159341</v>
      </c>
      <c r="U103" s="364">
        <f t="shared" ca="1" si="31"/>
        <v>0</v>
      </c>
      <c r="V103" s="359">
        <f t="shared" ca="1" si="32"/>
        <v>1.2206966863968136</v>
      </c>
      <c r="W103" s="357">
        <f t="shared" ca="1" si="33"/>
        <v>14.378808538685455</v>
      </c>
      <c r="X103" s="343"/>
      <c r="Y103" s="367" t="str">
        <f t="shared" ca="1" si="51"/>
        <v/>
      </c>
      <c r="Z103" s="368" t="str">
        <f t="shared" ca="1" si="52"/>
        <v/>
      </c>
      <c r="AA103" s="369" t="str">
        <f t="shared" ca="1" si="53"/>
        <v/>
      </c>
      <c r="AB103" s="344"/>
      <c r="AC103" s="363" t="e">
        <f t="shared" ca="1" si="54"/>
        <v>#N/A</v>
      </c>
      <c r="AD103" s="376" t="e">
        <f t="shared" ca="1" si="55"/>
        <v>#N/A</v>
      </c>
      <c r="AE103" s="377">
        <f t="shared" ca="1" si="34"/>
        <v>35.190901857304453</v>
      </c>
      <c r="AF103" s="344"/>
      <c r="AG103" s="359">
        <f t="shared" ca="1" si="56"/>
        <v>68.573310376780341</v>
      </c>
      <c r="AH103" s="357">
        <f t="shared" ca="1" si="57"/>
        <v>78.188458832661752</v>
      </c>
    </row>
    <row r="104" spans="1:34" x14ac:dyDescent="0.25">
      <c r="A104" s="402">
        <f t="shared" ca="1" si="35"/>
        <v>0.01</v>
      </c>
      <c r="B104" s="357">
        <f t="shared" ca="1" si="36"/>
        <v>1.0000000000000007</v>
      </c>
      <c r="C104" s="342"/>
      <c r="D104" s="359">
        <f t="shared" ca="1" si="37"/>
        <v>15.502137045943735</v>
      </c>
      <c r="E104" s="360">
        <f t="shared" ca="1" si="38"/>
        <v>66.698783023283667</v>
      </c>
      <c r="F104" s="357">
        <f t="shared" ca="1" si="39"/>
        <v>68.476593882715093</v>
      </c>
      <c r="G104" s="359">
        <f t="shared" ca="1" si="40"/>
        <v>14.480571473498452</v>
      </c>
      <c r="H104" s="360">
        <f t="shared" ca="1" si="41"/>
        <v>71.368878883981267</v>
      </c>
      <c r="I104" s="357">
        <f t="shared" ca="1" si="42"/>
        <v>72.823099517635782</v>
      </c>
      <c r="J104" s="359">
        <f t="shared" ca="1" si="43"/>
        <v>6.8769272815013487</v>
      </c>
      <c r="K104" s="360">
        <f t="shared" ca="1" si="44"/>
        <v>35.901255706993105</v>
      </c>
      <c r="L104" s="357">
        <f t="shared" ca="1" si="29"/>
        <v>36.553964082900265</v>
      </c>
      <c r="M104" s="359">
        <f t="shared" ca="1" si="45"/>
        <v>1.3706162091962142</v>
      </c>
      <c r="N104" s="357">
        <f t="shared" ca="1" si="46"/>
        <v>78.530524119163005</v>
      </c>
      <c r="O104" s="343"/>
      <c r="P104" s="363">
        <f t="shared" ca="1" si="47"/>
        <v>3</v>
      </c>
      <c r="Q104" s="357">
        <f t="shared" ca="1" si="48"/>
        <v>739.58999999999992</v>
      </c>
      <c r="R104" s="359">
        <f t="shared" ca="1" si="49"/>
        <v>0.37116576222933673</v>
      </c>
      <c r="S104" s="360">
        <f t="shared" ca="1" si="50"/>
        <v>9.2900162750137252</v>
      </c>
      <c r="T104" s="357">
        <f t="shared" ca="1" si="30"/>
        <v>91.135059657884653</v>
      </c>
      <c r="U104" s="364">
        <f t="shared" ca="1" si="31"/>
        <v>0</v>
      </c>
      <c r="V104" s="359">
        <f t="shared" ca="1" si="32"/>
        <v>1.2206099765436265</v>
      </c>
      <c r="W104" s="357">
        <f t="shared" ca="1" si="33"/>
        <v>14.651930578167203</v>
      </c>
      <c r="X104" s="343"/>
      <c r="Y104" s="367" t="str">
        <f t="shared" ca="1" si="51"/>
        <v/>
      </c>
      <c r="Z104" s="368" t="str">
        <f t="shared" ca="1" si="52"/>
        <v/>
      </c>
      <c r="AA104" s="369" t="str">
        <f t="shared" ca="1" si="53"/>
        <v/>
      </c>
      <c r="AB104" s="344"/>
      <c r="AC104" s="363">
        <f t="shared" ca="1" si="54"/>
        <v>1.0000000000000007</v>
      </c>
      <c r="AD104" s="376">
        <f t="shared" ca="1" si="55"/>
        <v>6.8769272815013487</v>
      </c>
      <c r="AE104" s="377">
        <f t="shared" ca="1" si="34"/>
        <v>35.901255706993105</v>
      </c>
      <c r="AF104" s="344"/>
      <c r="AG104" s="359">
        <f t="shared" ca="1" si="56"/>
        <v>68.448877224307978</v>
      </c>
      <c r="AH104" s="357">
        <f t="shared" ca="1" si="57"/>
        <v>78.063500643355226</v>
      </c>
    </row>
    <row r="105" spans="1:34" x14ac:dyDescent="0.25">
      <c r="A105" s="402">
        <f t="shared" ca="1" si="35"/>
        <v>0.01</v>
      </c>
      <c r="B105" s="357">
        <f t="shared" ca="1" si="36"/>
        <v>1.0100000000000007</v>
      </c>
      <c r="C105" s="342"/>
      <c r="D105" s="359">
        <f t="shared" ca="1" si="37"/>
        <v>15.493184017902603</v>
      </c>
      <c r="E105" s="360">
        <f t="shared" ca="1" si="38"/>
        <v>66.549636477370598</v>
      </c>
      <c r="F105" s="357">
        <f t="shared" ca="1" si="39"/>
        <v>68.329297276371634</v>
      </c>
      <c r="G105" s="359">
        <f t="shared" ca="1" si="40"/>
        <v>14.635503313677479</v>
      </c>
      <c r="H105" s="360">
        <f t="shared" ca="1" si="41"/>
        <v>72.034375248754969</v>
      </c>
      <c r="I105" s="357">
        <f t="shared" ca="1" si="42"/>
        <v>73.506116580343885</v>
      </c>
      <c r="J105" s="359">
        <f t="shared" ca="1" si="43"/>
        <v>7.0225076554372281</v>
      </c>
      <c r="K105" s="360">
        <f t="shared" ca="1" si="44"/>
        <v>36.618271977656789</v>
      </c>
      <c r="L105" s="357">
        <f t="shared" ca="1" si="29"/>
        <v>37.285566328008464</v>
      </c>
      <c r="M105" s="359">
        <f t="shared" ca="1" si="45"/>
        <v>1.3703508329323968</v>
      </c>
      <c r="N105" s="357">
        <f t="shared" ca="1" si="46"/>
        <v>78.515319179263315</v>
      </c>
      <c r="O105" s="343"/>
      <c r="P105" s="363">
        <f t="shared" ca="1" si="47"/>
        <v>4</v>
      </c>
      <c r="Q105" s="357">
        <f t="shared" ca="1" si="48"/>
        <v>738.19999999999982</v>
      </c>
      <c r="R105" s="359">
        <f t="shared" ca="1" si="49"/>
        <v>0.37046818599182835</v>
      </c>
      <c r="S105" s="360">
        <f t="shared" ca="1" si="50"/>
        <v>9.2863115931538065</v>
      </c>
      <c r="T105" s="357">
        <f t="shared" ca="1" si="30"/>
        <v>91.098716728838852</v>
      </c>
      <c r="U105" s="364">
        <f t="shared" ca="1" si="31"/>
        <v>0</v>
      </c>
      <c r="V105" s="359">
        <f t="shared" ca="1" si="32"/>
        <v>1.2205224596722131</v>
      </c>
      <c r="W105" s="357">
        <f t="shared" ca="1" si="33"/>
        <v>14.926993768578619</v>
      </c>
      <c r="X105" s="343"/>
      <c r="Y105" s="367" t="str">
        <f t="shared" ca="1" si="51"/>
        <v/>
      </c>
      <c r="Z105" s="368" t="str">
        <f t="shared" ca="1" si="52"/>
        <v/>
      </c>
      <c r="AA105" s="369" t="str">
        <f t="shared" ca="1" si="53"/>
        <v/>
      </c>
      <c r="AB105" s="344"/>
      <c r="AC105" s="363" t="e">
        <f t="shared" ca="1" si="54"/>
        <v>#N/A</v>
      </c>
      <c r="AD105" s="376" t="e">
        <f t="shared" ca="1" si="55"/>
        <v>#N/A</v>
      </c>
      <c r="AE105" s="377">
        <f t="shared" ca="1" si="34"/>
        <v>36.618271977656789</v>
      </c>
      <c r="AF105" s="344"/>
      <c r="AG105" s="359">
        <f t="shared" ca="1" si="56"/>
        <v>68.301447439012094</v>
      </c>
      <c r="AH105" s="357">
        <f t="shared" ca="1" si="57"/>
        <v>77.915549372181033</v>
      </c>
    </row>
    <row r="106" spans="1:34" x14ac:dyDescent="0.25">
      <c r="A106" s="402">
        <f t="shared" ca="1" si="35"/>
        <v>0.01</v>
      </c>
      <c r="B106" s="357">
        <f t="shared" ca="1" si="36"/>
        <v>1.0200000000000007</v>
      </c>
      <c r="C106" s="342"/>
      <c r="D106" s="359">
        <f t="shared" ca="1" si="37"/>
        <v>15.479406628314017</v>
      </c>
      <c r="E106" s="360">
        <f t="shared" ca="1" si="38"/>
        <v>66.377976716180115</v>
      </c>
      <c r="F106" s="357">
        <f t="shared" ca="1" si="39"/>
        <v>68.158989300740373</v>
      </c>
      <c r="G106" s="359">
        <f t="shared" ca="1" si="40"/>
        <v>14.790297379960618</v>
      </c>
      <c r="H106" s="360">
        <f t="shared" ca="1" si="41"/>
        <v>72.698155015916768</v>
      </c>
      <c r="I106" s="357">
        <f t="shared" ca="1" si="42"/>
        <v>74.187429119129973</v>
      </c>
      <c r="J106" s="359">
        <f t="shared" ca="1" si="43"/>
        <v>7.1696366589054188</v>
      </c>
      <c r="K106" s="360">
        <f t="shared" ca="1" si="44"/>
        <v>37.341934628980148</v>
      </c>
      <c r="L106" s="357">
        <f t="shared" ca="1" si="29"/>
        <v>38.023989423201606</v>
      </c>
      <c r="M106" s="359">
        <f t="shared" ca="1" si="45"/>
        <v>1.3700875498981717</v>
      </c>
      <c r="N106" s="357">
        <f t="shared" ca="1" si="46"/>
        <v>78.500234172584825</v>
      </c>
      <c r="O106" s="343"/>
      <c r="P106" s="363">
        <f t="shared" ca="1" si="47"/>
        <v>4</v>
      </c>
      <c r="Q106" s="357">
        <f t="shared" ca="1" si="48"/>
        <v>736.59999999999991</v>
      </c>
      <c r="R106" s="359">
        <f t="shared" ca="1" si="49"/>
        <v>0.36966522053858142</v>
      </c>
      <c r="S106" s="360">
        <f t="shared" ca="1" si="50"/>
        <v>9.2826149409484202</v>
      </c>
      <c r="T106" s="357">
        <f t="shared" ca="1" si="30"/>
        <v>91.062452570704011</v>
      </c>
      <c r="U106" s="364">
        <f t="shared" ca="1" si="31"/>
        <v>0</v>
      </c>
      <c r="V106" s="359">
        <f t="shared" ca="1" si="32"/>
        <v>1.2204341379141266</v>
      </c>
      <c r="W106" s="357">
        <f t="shared" ca="1" si="33"/>
        <v>15.203886112737917</v>
      </c>
      <c r="X106" s="343"/>
      <c r="Y106" s="367" t="str">
        <f t="shared" ca="1" si="51"/>
        <v/>
      </c>
      <c r="Z106" s="368" t="str">
        <f t="shared" ca="1" si="52"/>
        <v/>
      </c>
      <c r="AA106" s="369" t="str">
        <f t="shared" ca="1" si="53"/>
        <v/>
      </c>
      <c r="AB106" s="344"/>
      <c r="AC106" s="363" t="e">
        <f t="shared" ca="1" si="54"/>
        <v>#N/A</v>
      </c>
      <c r="AD106" s="376" t="e">
        <f t="shared" ca="1" si="55"/>
        <v>#N/A</v>
      </c>
      <c r="AE106" s="377">
        <f t="shared" ca="1" si="34"/>
        <v>37.341934628980148</v>
      </c>
      <c r="AF106" s="344"/>
      <c r="AG106" s="359">
        <f t="shared" ca="1" si="56"/>
        <v>68.130996752562496</v>
      </c>
      <c r="AH106" s="357">
        <f t="shared" ca="1" si="57"/>
        <v>77.744580683607111</v>
      </c>
    </row>
    <row r="107" spans="1:34" x14ac:dyDescent="0.25">
      <c r="A107" s="402">
        <f t="shared" ca="1" si="35"/>
        <v>0.01</v>
      </c>
      <c r="B107" s="357">
        <f t="shared" ca="1" si="36"/>
        <v>1.0300000000000007</v>
      </c>
      <c r="C107" s="342"/>
      <c r="D107" s="359">
        <f t="shared" ca="1" si="37"/>
        <v>15.465300261534583</v>
      </c>
      <c r="E107" s="360">
        <f t="shared" ca="1" si="38"/>
        <v>66.205969584496174</v>
      </c>
      <c r="F107" s="357">
        <f t="shared" ca="1" si="39"/>
        <v>67.988277819067122</v>
      </c>
      <c r="G107" s="359">
        <f t="shared" ca="1" si="40"/>
        <v>14.944950382575964</v>
      </c>
      <c r="H107" s="360">
        <f t="shared" ca="1" si="41"/>
        <v>73.360214711761728</v>
      </c>
      <c r="I107" s="357">
        <f t="shared" ca="1" si="42"/>
        <v>74.867033095304635</v>
      </c>
      <c r="J107" s="359">
        <f t="shared" ca="1" si="43"/>
        <v>7.3183128977181013</v>
      </c>
      <c r="K107" s="360">
        <f t="shared" ca="1" si="44"/>
        <v>38.072226477618543</v>
      </c>
      <c r="L107" s="357">
        <f t="shared" ca="1" si="29"/>
        <v>38.769216301493451</v>
      </c>
      <c r="M107" s="359">
        <f t="shared" ca="1" si="45"/>
        <v>1.3698263187409285</v>
      </c>
      <c r="N107" s="357">
        <f t="shared" ca="1" si="46"/>
        <v>78.485266729797473</v>
      </c>
      <c r="O107" s="343"/>
      <c r="P107" s="363">
        <f t="shared" ca="1" si="47"/>
        <v>4</v>
      </c>
      <c r="Q107" s="357">
        <f t="shared" ca="1" si="48"/>
        <v>734.99999999999989</v>
      </c>
      <c r="R107" s="359">
        <f t="shared" ca="1" si="49"/>
        <v>0.36886225508533443</v>
      </c>
      <c r="S107" s="360">
        <f t="shared" ca="1" si="50"/>
        <v>9.2789263183975663</v>
      </c>
      <c r="T107" s="357">
        <f t="shared" ca="1" si="30"/>
        <v>91.02626718348013</v>
      </c>
      <c r="U107" s="364">
        <f t="shared" ca="1" si="31"/>
        <v>0</v>
      </c>
      <c r="V107" s="359">
        <f t="shared" ca="1" si="32"/>
        <v>1.2203450135414269</v>
      </c>
      <c r="W107" s="357">
        <f t="shared" ca="1" si="33"/>
        <v>15.482585764190748</v>
      </c>
      <c r="X107" s="343"/>
      <c r="Y107" s="367" t="str">
        <f t="shared" ca="1" si="51"/>
        <v/>
      </c>
      <c r="Z107" s="368" t="str">
        <f t="shared" ca="1" si="52"/>
        <v/>
      </c>
      <c r="AA107" s="369" t="str">
        <f t="shared" ca="1" si="53"/>
        <v/>
      </c>
      <c r="AB107" s="344"/>
      <c r="AC107" s="363" t="e">
        <f t="shared" ca="1" si="54"/>
        <v>#N/A</v>
      </c>
      <c r="AD107" s="376" t="e">
        <f t="shared" ca="1" si="55"/>
        <v>#N/A</v>
      </c>
      <c r="AE107" s="377">
        <f t="shared" ca="1" si="34"/>
        <v>38.072226477618543</v>
      </c>
      <c r="AF107" s="344"/>
      <c r="AG107" s="359">
        <f t="shared" ca="1" si="56"/>
        <v>67.960142164721233</v>
      </c>
      <c r="AH107" s="357">
        <f t="shared" ca="1" si="57"/>
        <v>77.57321151048518</v>
      </c>
    </row>
    <row r="108" spans="1:34" x14ac:dyDescent="0.25">
      <c r="A108" s="402">
        <f t="shared" ca="1" si="35"/>
        <v>0.01</v>
      </c>
      <c r="B108" s="357">
        <f t="shared" ca="1" si="36"/>
        <v>1.0400000000000007</v>
      </c>
      <c r="C108" s="342"/>
      <c r="D108" s="359">
        <f t="shared" ca="1" si="37"/>
        <v>15.450869293418259</v>
      </c>
      <c r="E108" s="360">
        <f t="shared" ca="1" si="38"/>
        <v>66.033616728900725</v>
      </c>
      <c r="F108" s="357">
        <f t="shared" ca="1" si="39"/>
        <v>67.817165232864554</v>
      </c>
      <c r="G108" s="359">
        <f t="shared" ca="1" si="40"/>
        <v>15.099459075510147</v>
      </c>
      <c r="H108" s="360">
        <f t="shared" ca="1" si="41"/>
        <v>74.020550879050731</v>
      </c>
      <c r="I108" s="357">
        <f t="shared" ca="1" si="42"/>
        <v>75.544924494046214</v>
      </c>
      <c r="J108" s="359">
        <f t="shared" ca="1" si="43"/>
        <v>7.4685349450085319</v>
      </c>
      <c r="K108" s="360">
        <f t="shared" ca="1" si="44"/>
        <v>38.809130305572602</v>
      </c>
      <c r="L108" s="357">
        <f t="shared" ca="1" si="29"/>
        <v>39.521229855607068</v>
      </c>
      <c r="M108" s="359">
        <f t="shared" ca="1" si="45"/>
        <v>1.3695670992965046</v>
      </c>
      <c r="N108" s="357">
        <f t="shared" ca="1" si="46"/>
        <v>78.470414549664255</v>
      </c>
      <c r="O108" s="343"/>
      <c r="P108" s="363">
        <f t="shared" ca="1" si="47"/>
        <v>4</v>
      </c>
      <c r="Q108" s="357">
        <f t="shared" ca="1" si="48"/>
        <v>733.39999999999986</v>
      </c>
      <c r="R108" s="359">
        <f t="shared" ca="1" si="49"/>
        <v>0.36805928963208739</v>
      </c>
      <c r="S108" s="360">
        <f t="shared" ca="1" si="50"/>
        <v>9.2752457255012448</v>
      </c>
      <c r="T108" s="357">
        <f t="shared" ca="1" si="30"/>
        <v>90.990160567167223</v>
      </c>
      <c r="U108" s="364">
        <f t="shared" ca="1" si="31"/>
        <v>0</v>
      </c>
      <c r="V108" s="359">
        <f t="shared" ca="1" si="32"/>
        <v>1.220255088831359</v>
      </c>
      <c r="W108" s="357">
        <f t="shared" ca="1" si="33"/>
        <v>15.76307087499247</v>
      </c>
      <c r="X108" s="343"/>
      <c r="Y108" s="367" t="str">
        <f t="shared" ca="1" si="51"/>
        <v/>
      </c>
      <c r="Z108" s="368" t="str">
        <f t="shared" ca="1" si="52"/>
        <v/>
      </c>
      <c r="AA108" s="369" t="str">
        <f t="shared" ca="1" si="53"/>
        <v/>
      </c>
      <c r="AB108" s="344"/>
      <c r="AC108" s="363" t="e">
        <f t="shared" ca="1" si="54"/>
        <v>#N/A</v>
      </c>
      <c r="AD108" s="376" t="e">
        <f t="shared" ca="1" si="55"/>
        <v>#N/A</v>
      </c>
      <c r="AE108" s="377">
        <f t="shared" ca="1" si="34"/>
        <v>38.809130305572602</v>
      </c>
      <c r="AF108" s="344"/>
      <c r="AG108" s="359">
        <f t="shared" ca="1" si="56"/>
        <v>67.788886063156085</v>
      </c>
      <c r="AH108" s="357">
        <f t="shared" ca="1" si="57"/>
        <v>77.401444175433099</v>
      </c>
    </row>
    <row r="109" spans="1:34" x14ac:dyDescent="0.25">
      <c r="A109" s="402">
        <f t="shared" ca="1" si="35"/>
        <v>0.01</v>
      </c>
      <c r="B109" s="357">
        <f t="shared" ca="1" si="36"/>
        <v>1.0500000000000007</v>
      </c>
      <c r="C109" s="342"/>
      <c r="D109" s="359">
        <f t="shared" ca="1" si="37"/>
        <v>15.436117989475648</v>
      </c>
      <c r="E109" s="360">
        <f t="shared" ca="1" si="38"/>
        <v>65.860919819120056</v>
      </c>
      <c r="F109" s="357">
        <f t="shared" ca="1" si="39"/>
        <v>67.645653947652647</v>
      </c>
      <c r="G109" s="359">
        <f t="shared" ca="1" si="40"/>
        <v>15.253820255404904</v>
      </c>
      <c r="H109" s="360">
        <f t="shared" ca="1" si="41"/>
        <v>74.679160077241932</v>
      </c>
      <c r="I109" s="357">
        <f t="shared" ca="1" si="42"/>
        <v>76.221099324442477</v>
      </c>
      <c r="J109" s="359">
        <f t="shared" ca="1" si="43"/>
        <v>7.6203013416631071</v>
      </c>
      <c r="K109" s="360">
        <f t="shared" ca="1" si="44"/>
        <v>39.552628860354062</v>
      </c>
      <c r="L109" s="357">
        <f t="shared" ca="1" si="29"/>
        <v>40.28001293821373</v>
      </c>
      <c r="M109" s="359">
        <f t="shared" ca="1" si="45"/>
        <v>1.3693098525434575</v>
      </c>
      <c r="N109" s="357">
        <f t="shared" ca="1" si="46"/>
        <v>78.455675396421213</v>
      </c>
      <c r="O109" s="343"/>
      <c r="P109" s="363">
        <f t="shared" ca="1" si="47"/>
        <v>4</v>
      </c>
      <c r="Q109" s="357">
        <f t="shared" ca="1" si="48"/>
        <v>731.79999999999984</v>
      </c>
      <c r="R109" s="359">
        <f t="shared" ca="1" si="49"/>
        <v>0.36725632417884041</v>
      </c>
      <c r="S109" s="360">
        <f t="shared" ca="1" si="50"/>
        <v>9.2715731622594557</v>
      </c>
      <c r="T109" s="357">
        <f t="shared" ca="1" si="30"/>
        <v>90.954132721765262</v>
      </c>
      <c r="U109" s="364">
        <f t="shared" ca="1" si="31"/>
        <v>0</v>
      </c>
      <c r="V109" s="359">
        <f t="shared" ca="1" si="32"/>
        <v>1.2201643660663208</v>
      </c>
      <c r="W109" s="357">
        <f t="shared" ca="1" si="33"/>
        <v>16.045319596731279</v>
      </c>
      <c r="X109" s="343"/>
      <c r="Y109" s="367" t="str">
        <f t="shared" ca="1" si="51"/>
        <v/>
      </c>
      <c r="Z109" s="368" t="str">
        <f t="shared" ca="1" si="52"/>
        <v/>
      </c>
      <c r="AA109" s="369" t="str">
        <f t="shared" ca="1" si="53"/>
        <v/>
      </c>
      <c r="AB109" s="344"/>
      <c r="AC109" s="363" t="e">
        <f t="shared" ca="1" si="54"/>
        <v>#N/A</v>
      </c>
      <c r="AD109" s="376" t="e">
        <f t="shared" ca="1" si="55"/>
        <v>#N/A</v>
      </c>
      <c r="AE109" s="377">
        <f t="shared" ca="1" si="34"/>
        <v>39.552628860354062</v>
      </c>
      <c r="AF109" s="344"/>
      <c r="AG109" s="359">
        <f t="shared" ca="1" si="56"/>
        <v>67.617230839666391</v>
      </c>
      <c r="AH109" s="357">
        <f t="shared" ca="1" si="57"/>
        <v>77.229281006990547</v>
      </c>
    </row>
    <row r="110" spans="1:34" x14ac:dyDescent="0.25">
      <c r="A110" s="402">
        <f t="shared" ca="1" si="35"/>
        <v>0.01</v>
      </c>
      <c r="B110" s="357">
        <f t="shared" ca="1" si="36"/>
        <v>1.0600000000000007</v>
      </c>
      <c r="C110" s="342"/>
      <c r="D110" s="359">
        <f t="shared" ca="1" si="37"/>
        <v>15.421050509148076</v>
      </c>
      <c r="E110" s="360">
        <f t="shared" ca="1" si="38"/>
        <v>65.68788054725789</v>
      </c>
      <c r="F110" s="357">
        <f t="shared" ca="1" si="39"/>
        <v>67.473746372915429</v>
      </c>
      <c r="G110" s="359">
        <f t="shared" ca="1" si="40"/>
        <v>15.408030760496384</v>
      </c>
      <c r="H110" s="360">
        <f t="shared" ca="1" si="41"/>
        <v>75.336038882714504</v>
      </c>
      <c r="I110" s="357">
        <f t="shared" ca="1" si="42"/>
        <v>76.895553619531697</v>
      </c>
      <c r="J110" s="359">
        <f t="shared" ca="1" si="43"/>
        <v>7.7736105967426132</v>
      </c>
      <c r="K110" s="360">
        <f t="shared" ca="1" si="44"/>
        <v>40.302704855153841</v>
      </c>
      <c r="L110" s="357">
        <f t="shared" ca="1" si="29"/>
        <v>41.045548362172362</v>
      </c>
      <c r="M110" s="359">
        <f t="shared" ca="1" si="45"/>
        <v>1.3690545405595298</v>
      </c>
      <c r="N110" s="357">
        <f t="shared" ca="1" si="46"/>
        <v>78.441047097283032</v>
      </c>
      <c r="O110" s="343"/>
      <c r="P110" s="363">
        <f t="shared" ca="1" si="47"/>
        <v>4</v>
      </c>
      <c r="Q110" s="357">
        <f t="shared" ca="1" si="48"/>
        <v>730.19999999999982</v>
      </c>
      <c r="R110" s="359">
        <f t="shared" ca="1" si="49"/>
        <v>0.36645335872559343</v>
      </c>
      <c r="S110" s="360">
        <f t="shared" ca="1" si="50"/>
        <v>9.267908628672199</v>
      </c>
      <c r="T110" s="357">
        <f t="shared" ca="1" si="30"/>
        <v>90.918183647274276</v>
      </c>
      <c r="U110" s="364">
        <f t="shared" ca="1" si="31"/>
        <v>0</v>
      </c>
      <c r="V110" s="359">
        <f t="shared" ca="1" si="32"/>
        <v>1.2200728475338249</v>
      </c>
      <c r="W110" s="357">
        <f t="shared" ca="1" si="33"/>
        <v>16.329310081548371</v>
      </c>
      <c r="X110" s="343"/>
      <c r="Y110" s="367" t="str">
        <f t="shared" ca="1" si="51"/>
        <v/>
      </c>
      <c r="Z110" s="368" t="str">
        <f t="shared" ca="1" si="52"/>
        <v/>
      </c>
      <c r="AA110" s="369" t="str">
        <f t="shared" ca="1" si="53"/>
        <v/>
      </c>
      <c r="AB110" s="344"/>
      <c r="AC110" s="363" t="e">
        <f t="shared" ca="1" si="54"/>
        <v>#N/A</v>
      </c>
      <c r="AD110" s="376" t="e">
        <f t="shared" ca="1" si="55"/>
        <v>#N/A</v>
      </c>
      <c r="AE110" s="377">
        <f t="shared" ca="1" si="34"/>
        <v>40.302704855153841</v>
      </c>
      <c r="AF110" s="344"/>
      <c r="AG110" s="359">
        <f t="shared" ca="1" si="56"/>
        <v>67.445178890131217</v>
      </c>
      <c r="AH110" s="357">
        <f t="shared" ca="1" si="57"/>
        <v>77.056724339500164</v>
      </c>
    </row>
    <row r="111" spans="1:34" x14ac:dyDescent="0.25">
      <c r="A111" s="402">
        <f t="shared" ca="1" si="35"/>
        <v>0.01</v>
      </c>
      <c r="B111" s="357">
        <f t="shared" ca="1" si="36"/>
        <v>1.0700000000000007</v>
      </c>
      <c r="C111" s="342"/>
      <c r="D111" s="359">
        <f t="shared" ca="1" si="37"/>
        <v>15.405670909876415</v>
      </c>
      <c r="E111" s="360">
        <f t="shared" ca="1" si="38"/>
        <v>65.514500627058908</v>
      </c>
      <c r="F111" s="357">
        <f t="shared" ca="1" si="39"/>
        <v>67.301444922054344</v>
      </c>
      <c r="G111" s="359">
        <f t="shared" ca="1" si="40"/>
        <v>15.562087469595149</v>
      </c>
      <c r="H111" s="360">
        <f t="shared" ca="1" si="41"/>
        <v>75.991183888985091</v>
      </c>
      <c r="I111" s="357">
        <f t="shared" ca="1" si="42"/>
        <v>77.568283436343222</v>
      </c>
      <c r="J111" s="359">
        <f t="shared" ca="1" si="43"/>
        <v>7.9284611878930713</v>
      </c>
      <c r="K111" s="360">
        <f t="shared" ca="1" si="44"/>
        <v>41.059340969012339</v>
      </c>
      <c r="L111" s="357">
        <f t="shared" ca="1" si="29"/>
        <v>41.817818900769346</v>
      </c>
      <c r="M111" s="359">
        <f t="shared" ca="1" si="45"/>
        <v>1.3688011264801749</v>
      </c>
      <c r="N111" s="357">
        <f t="shared" ca="1" si="46"/>
        <v>78.426527540066814</v>
      </c>
      <c r="O111" s="343"/>
      <c r="P111" s="363">
        <f t="shared" ca="1" si="47"/>
        <v>4</v>
      </c>
      <c r="Q111" s="357">
        <f t="shared" ca="1" si="48"/>
        <v>728.59999999999991</v>
      </c>
      <c r="R111" s="359">
        <f t="shared" ca="1" si="49"/>
        <v>0.3656503932723465</v>
      </c>
      <c r="S111" s="360">
        <f t="shared" ca="1" si="50"/>
        <v>9.2642521247394747</v>
      </c>
      <c r="T111" s="357">
        <f t="shared" ca="1" si="30"/>
        <v>90.88231334369425</v>
      </c>
      <c r="U111" s="364">
        <f t="shared" ca="1" si="31"/>
        <v>0</v>
      </c>
      <c r="V111" s="359">
        <f t="shared" ca="1" si="32"/>
        <v>1.2199805355264612</v>
      </c>
      <c r="W111" s="357">
        <f t="shared" ca="1" si="33"/>
        <v>16.615020483155185</v>
      </c>
      <c r="X111" s="343"/>
      <c r="Y111" s="367" t="str">
        <f t="shared" ca="1" si="51"/>
        <v/>
      </c>
      <c r="Z111" s="368" t="str">
        <f t="shared" ca="1" si="52"/>
        <v/>
      </c>
      <c r="AA111" s="369" t="str">
        <f t="shared" ca="1" si="53"/>
        <v/>
      </c>
      <c r="AB111" s="344"/>
      <c r="AC111" s="363" t="e">
        <f t="shared" ca="1" si="54"/>
        <v>#N/A</v>
      </c>
      <c r="AD111" s="376" t="e">
        <f t="shared" ca="1" si="55"/>
        <v>#N/A</v>
      </c>
      <c r="AE111" s="377">
        <f t="shared" ca="1" si="34"/>
        <v>41.059340969012339</v>
      </c>
      <c r="AF111" s="344"/>
      <c r="AG111" s="359">
        <f t="shared" ca="1" si="56"/>
        <v>67.272732614454355</v>
      </c>
      <c r="AH111" s="357">
        <f t="shared" ca="1" si="57"/>
        <v>76.883776512988817</v>
      </c>
    </row>
    <row r="112" spans="1:34" x14ac:dyDescent="0.25">
      <c r="A112" s="402">
        <f t="shared" ca="1" si="35"/>
        <v>0.01</v>
      </c>
      <c r="B112" s="357">
        <f t="shared" ca="1" si="36"/>
        <v>1.0800000000000007</v>
      </c>
      <c r="C112" s="342"/>
      <c r="D112" s="359">
        <f t="shared" ca="1" si="37"/>
        <v>15.389983150976628</v>
      </c>
      <c r="E112" s="360">
        <f t="shared" ca="1" si="38"/>
        <v>65.340781793200662</v>
      </c>
      <c r="F112" s="357">
        <f t="shared" ca="1" si="39"/>
        <v>67.128752012338254</v>
      </c>
      <c r="G112" s="359">
        <f t="shared" ca="1" si="40"/>
        <v>15.715987301104915</v>
      </c>
      <c r="H112" s="360">
        <f t="shared" ca="1" si="41"/>
        <v>76.644591706917097</v>
      </c>
      <c r="I112" s="357">
        <f t="shared" ca="1" si="42"/>
        <v>78.239284855937399</v>
      </c>
      <c r="J112" s="359">
        <f t="shared" ca="1" si="43"/>
        <v>8.0848515617465715</v>
      </c>
      <c r="K112" s="360">
        <f t="shared" ca="1" si="44"/>
        <v>41.822519846991852</v>
      </c>
      <c r="L112" s="357">
        <f t="shared" ca="1" si="29"/>
        <v>42.596807287958839</v>
      </c>
      <c r="M112" s="359">
        <f t="shared" ca="1" si="45"/>
        <v>1.3685495744590315</v>
      </c>
      <c r="N112" s="357">
        <f t="shared" ca="1" si="46"/>
        <v>78.412114670927309</v>
      </c>
      <c r="O112" s="343"/>
      <c r="P112" s="363">
        <f t="shared" ca="1" si="47"/>
        <v>4</v>
      </c>
      <c r="Q112" s="357">
        <f t="shared" ca="1" si="48"/>
        <v>726.99999999999989</v>
      </c>
      <c r="R112" s="359">
        <f t="shared" ca="1" si="49"/>
        <v>0.36484742781909951</v>
      </c>
      <c r="S112" s="360">
        <f t="shared" ca="1" si="50"/>
        <v>9.2606036504612845</v>
      </c>
      <c r="T112" s="357">
        <f t="shared" ca="1" si="30"/>
        <v>90.846521811025212</v>
      </c>
      <c r="U112" s="364">
        <f t="shared" ca="1" si="31"/>
        <v>0</v>
      </c>
      <c r="V112" s="359">
        <f t="shared" ca="1" si="32"/>
        <v>1.2198874323418611</v>
      </c>
      <c r="W112" s="357">
        <f t="shared" ca="1" si="33"/>
        <v>16.902428957847683</v>
      </c>
      <c r="X112" s="343"/>
      <c r="Y112" s="367" t="str">
        <f t="shared" ca="1" si="51"/>
        <v/>
      </c>
      <c r="Z112" s="368" t="str">
        <f t="shared" ca="1" si="52"/>
        <v/>
      </c>
      <c r="AA112" s="369" t="str">
        <f t="shared" ca="1" si="53"/>
        <v/>
      </c>
      <c r="AB112" s="344"/>
      <c r="AC112" s="363" t="e">
        <f t="shared" ca="1" si="54"/>
        <v>#N/A</v>
      </c>
      <c r="AD112" s="376" t="e">
        <f t="shared" ca="1" si="55"/>
        <v>#N/A</v>
      </c>
      <c r="AE112" s="377">
        <f t="shared" ca="1" si="34"/>
        <v>41.822519846991852</v>
      </c>
      <c r="AF112" s="344"/>
      <c r="AG112" s="359">
        <f t="shared" ca="1" si="56"/>
        <v>67.099894416506174</v>
      </c>
      <c r="AH112" s="357">
        <f t="shared" ca="1" si="57"/>
        <v>76.7104398730486</v>
      </c>
    </row>
    <row r="113" spans="1:34" x14ac:dyDescent="0.25">
      <c r="A113" s="402">
        <f t="shared" ca="1" si="35"/>
        <v>0.01</v>
      </c>
      <c r="B113" s="357">
        <f t="shared" ca="1" si="36"/>
        <v>1.0900000000000007</v>
      </c>
      <c r="C113" s="342"/>
      <c r="D113" s="359">
        <f t="shared" ca="1" si="37"/>
        <v>15.373991097332818</v>
      </c>
      <c r="E113" s="360">
        <f t="shared" ca="1" si="38"/>
        <v>65.166725800612525</v>
      </c>
      <c r="F113" s="357">
        <f t="shared" ca="1" si="39"/>
        <v>66.955670064850267</v>
      </c>
      <c r="G113" s="359">
        <f t="shared" ca="1" si="40"/>
        <v>15.869727212078244</v>
      </c>
      <c r="H113" s="360">
        <f t="shared" ca="1" si="41"/>
        <v>77.296258964923226</v>
      </c>
      <c r="I113" s="357">
        <f t="shared" ca="1" si="42"/>
        <v>78.908553983444989</v>
      </c>
      <c r="J113" s="359">
        <f t="shared" ca="1" si="43"/>
        <v>8.242780134312488</v>
      </c>
      <c r="K113" s="360">
        <f t="shared" ca="1" si="44"/>
        <v>42.592224100351054</v>
      </c>
      <c r="L113" s="357">
        <f t="shared" ca="1" si="29"/>
        <v>43.382496218603436</v>
      </c>
      <c r="M113" s="359">
        <f t="shared" ca="1" si="45"/>
        <v>1.3682998496302368</v>
      </c>
      <c r="N113" s="357">
        <f t="shared" ca="1" si="46"/>
        <v>78.397806492197745</v>
      </c>
      <c r="O113" s="343"/>
      <c r="P113" s="363">
        <f t="shared" ca="1" si="47"/>
        <v>4</v>
      </c>
      <c r="Q113" s="357">
        <f t="shared" ca="1" si="48"/>
        <v>725.39999999999986</v>
      </c>
      <c r="R113" s="359">
        <f t="shared" ca="1" si="49"/>
        <v>0.36404446236585247</v>
      </c>
      <c r="S113" s="360">
        <f t="shared" ca="1" si="50"/>
        <v>9.2569632058376268</v>
      </c>
      <c r="T113" s="357">
        <f t="shared" ca="1" si="30"/>
        <v>90.810809049267121</v>
      </c>
      <c r="U113" s="364">
        <f t="shared" ca="1" si="31"/>
        <v>0</v>
      </c>
      <c r="V113" s="359">
        <f t="shared" ca="1" si="32"/>
        <v>1.2197935402826598</v>
      </c>
      <c r="W113" s="357">
        <f t="shared" ca="1" si="33"/>
        <v>17.191513665517494</v>
      </c>
      <c r="X113" s="343"/>
      <c r="Y113" s="367" t="str">
        <f t="shared" ca="1" si="51"/>
        <v/>
      </c>
      <c r="Z113" s="368" t="str">
        <f t="shared" ca="1" si="52"/>
        <v/>
      </c>
      <c r="AA113" s="369" t="str">
        <f t="shared" ca="1" si="53"/>
        <v/>
      </c>
      <c r="AB113" s="344"/>
      <c r="AC113" s="363" t="e">
        <f t="shared" ca="1" si="54"/>
        <v>#N/A</v>
      </c>
      <c r="AD113" s="376" t="e">
        <f t="shared" ca="1" si="55"/>
        <v>#N/A</v>
      </c>
      <c r="AE113" s="377">
        <f t="shared" ca="1" si="34"/>
        <v>42.592224100351054</v>
      </c>
      <c r="AF113" s="344"/>
      <c r="AG113" s="359">
        <f t="shared" ca="1" si="56"/>
        <v>66.926666704062796</v>
      </c>
      <c r="AH113" s="357">
        <f t="shared" ca="1" si="57"/>
        <v>76.536716770718002</v>
      </c>
    </row>
    <row r="114" spans="1:34" x14ac:dyDescent="0.25">
      <c r="A114" s="402">
        <f t="shared" ca="1" si="35"/>
        <v>0.01</v>
      </c>
      <c r="B114" s="357">
        <f t="shared" ca="1" si="36"/>
        <v>1.1000000000000008</v>
      </c>
      <c r="C114" s="342"/>
      <c r="D114" s="359">
        <f t="shared" ca="1" si="37"/>
        <v>15.357698522917865</v>
      </c>
      <c r="E114" s="360">
        <f t="shared" ca="1" si="38"/>
        <v>64.992334423820282</v>
      </c>
      <c r="F114" s="357">
        <f t="shared" ca="1" si="39"/>
        <v>66.782201504431768</v>
      </c>
      <c r="G114" s="359">
        <f t="shared" ca="1" si="40"/>
        <v>16.023304197307422</v>
      </c>
      <c r="H114" s="360">
        <f t="shared" ca="1" si="41"/>
        <v>77.946182309161429</v>
      </c>
      <c r="I114" s="357">
        <f t="shared" ca="1" si="42"/>
        <v>79.576086948105711</v>
      </c>
      <c r="J114" s="359">
        <f t="shared" ca="1" si="43"/>
        <v>8.4022452913594172</v>
      </c>
      <c r="K114" s="360">
        <f t="shared" ca="1" si="44"/>
        <v>43.368436306721478</v>
      </c>
      <c r="L114" s="357">
        <f t="shared" ca="1" si="29"/>
        <v>44.1748683487153</v>
      </c>
      <c r="M114" s="359">
        <f t="shared" ca="1" si="45"/>
        <v>1.3680519180724746</v>
      </c>
      <c r="N114" s="357">
        <f t="shared" ca="1" si="46"/>
        <v>78.383601060329866</v>
      </c>
      <c r="O114" s="343"/>
      <c r="P114" s="363">
        <f t="shared" ca="1" si="47"/>
        <v>4</v>
      </c>
      <c r="Q114" s="357">
        <f t="shared" ca="1" si="48"/>
        <v>723.79999999999984</v>
      </c>
      <c r="R114" s="359">
        <f t="shared" ca="1" si="49"/>
        <v>0.36324149691260549</v>
      </c>
      <c r="S114" s="360">
        <f t="shared" ca="1" si="50"/>
        <v>9.2533307908685014</v>
      </c>
      <c r="T114" s="357">
        <f t="shared" ca="1" si="30"/>
        <v>90.775175058420004</v>
      </c>
      <c r="U114" s="364">
        <f t="shared" ca="1" si="31"/>
        <v>0</v>
      </c>
      <c r="V114" s="359">
        <f t="shared" ca="1" si="32"/>
        <v>1.219698861656457</v>
      </c>
      <c r="W114" s="357">
        <f t="shared" ca="1" si="33"/>
        <v>17.482252770659894</v>
      </c>
      <c r="X114" s="343"/>
      <c r="Y114" s="367" t="str">
        <f t="shared" ca="1" si="51"/>
        <v/>
      </c>
      <c r="Z114" s="368" t="str">
        <f t="shared" ca="1" si="52"/>
        <v/>
      </c>
      <c r="AA114" s="369" t="str">
        <f t="shared" ca="1" si="53"/>
        <v/>
      </c>
      <c r="AB114" s="344"/>
      <c r="AC114" s="363" t="e">
        <f t="shared" ca="1" si="54"/>
        <v>#N/A</v>
      </c>
      <c r="AD114" s="376" t="e">
        <f t="shared" ca="1" si="55"/>
        <v>#N/A</v>
      </c>
      <c r="AE114" s="377">
        <f t="shared" ca="1" si="34"/>
        <v>43.368436306721478</v>
      </c>
      <c r="AF114" s="344"/>
      <c r="AG114" s="359">
        <f t="shared" ca="1" si="56"/>
        <v>66.753051888742618</v>
      </c>
      <c r="AH114" s="357">
        <f t="shared" ca="1" si="57"/>
        <v>76.362609562362934</v>
      </c>
    </row>
    <row r="115" spans="1:34" x14ac:dyDescent="0.25">
      <c r="A115" s="402">
        <f t="shared" ca="1" si="35"/>
        <v>0.01</v>
      </c>
      <c r="B115" s="357">
        <f t="shared" ca="1" si="36"/>
        <v>1.1100000000000008</v>
      </c>
      <c r="C115" s="342"/>
      <c r="D115" s="359">
        <f t="shared" ca="1" si="37"/>
        <v>15.341109114151429</v>
      </c>
      <c r="E115" s="360">
        <f t="shared" ca="1" si="38"/>
        <v>64.817609456314585</v>
      </c>
      <c r="F115" s="357">
        <f t="shared" ca="1" si="39"/>
        <v>66.608348759623382</v>
      </c>
      <c r="G115" s="359">
        <f t="shared" ca="1" si="40"/>
        <v>16.176715288448936</v>
      </c>
      <c r="H115" s="360">
        <f t="shared" ca="1" si="41"/>
        <v>78.59435840372457</v>
      </c>
      <c r="I115" s="357">
        <f t="shared" ca="1" si="42"/>
        <v>80.241879903306398</v>
      </c>
      <c r="J115" s="359">
        <f t="shared" ca="1" si="43"/>
        <v>8.5632453887881983</v>
      </c>
      <c r="K115" s="360">
        <f t="shared" ca="1" si="44"/>
        <v>44.15113901028591</v>
      </c>
      <c r="L115" s="357">
        <f t="shared" ca="1" si="29"/>
        <v>44.973906295697645</v>
      </c>
      <c r="M115" s="359">
        <f t="shared" ca="1" si="45"/>
        <v>1.3678057467746656</v>
      </c>
      <c r="N115" s="357">
        <f t="shared" ca="1" si="46"/>
        <v>78.36949648392816</v>
      </c>
      <c r="O115" s="343"/>
      <c r="P115" s="363">
        <f t="shared" ca="1" si="47"/>
        <v>4</v>
      </c>
      <c r="Q115" s="357">
        <f t="shared" ca="1" si="48"/>
        <v>722.19999999999982</v>
      </c>
      <c r="R115" s="359">
        <f t="shared" ca="1" si="49"/>
        <v>0.3624385314593585</v>
      </c>
      <c r="S115" s="360">
        <f t="shared" ca="1" si="50"/>
        <v>9.2497064055539084</v>
      </c>
      <c r="T115" s="357">
        <f t="shared" ca="1" si="30"/>
        <v>90.739619838483847</v>
      </c>
      <c r="U115" s="364">
        <f t="shared" ca="1" si="31"/>
        <v>0</v>
      </c>
      <c r="V115" s="359">
        <f t="shared" ca="1" si="32"/>
        <v>1.2196033987757817</v>
      </c>
      <c r="W115" s="357">
        <f t="shared" ca="1" si="33"/>
        <v>17.774624443378666</v>
      </c>
      <c r="X115" s="343"/>
      <c r="Y115" s="367" t="str">
        <f t="shared" ca="1" si="51"/>
        <v/>
      </c>
      <c r="Z115" s="368" t="str">
        <f t="shared" ca="1" si="52"/>
        <v/>
      </c>
      <c r="AA115" s="369" t="str">
        <f t="shared" ca="1" si="53"/>
        <v/>
      </c>
      <c r="AB115" s="344"/>
      <c r="AC115" s="363" t="e">
        <f t="shared" ca="1" si="54"/>
        <v>#N/A</v>
      </c>
      <c r="AD115" s="376" t="e">
        <f t="shared" ca="1" si="55"/>
        <v>#N/A</v>
      </c>
      <c r="AE115" s="377">
        <f t="shared" ca="1" si="34"/>
        <v>44.15113901028591</v>
      </c>
      <c r="AF115" s="344"/>
      <c r="AG115" s="359">
        <f t="shared" ca="1" si="56"/>
        <v>66.57905238594013</v>
      </c>
      <c r="AH115" s="357">
        <f t="shared" ca="1" si="57"/>
        <v>76.188120609557728</v>
      </c>
    </row>
    <row r="116" spans="1:34" x14ac:dyDescent="0.25">
      <c r="A116" s="402">
        <f t="shared" ca="1" si="35"/>
        <v>0.01</v>
      </c>
      <c r="B116" s="357">
        <f t="shared" ca="1" si="36"/>
        <v>1.1200000000000008</v>
      </c>
      <c r="C116" s="342"/>
      <c r="D116" s="359">
        <f t="shared" ca="1" si="37"/>
        <v>15.324226473103998</v>
      </c>
      <c r="E116" s="360">
        <f t="shared" ca="1" si="38"/>
        <v>64.642552709942692</v>
      </c>
      <c r="F116" s="357">
        <f t="shared" ca="1" si="39"/>
        <v>66.434114262603828</v>
      </c>
      <c r="G116" s="359">
        <f t="shared" ca="1" si="40"/>
        <v>16.329957553179977</v>
      </c>
      <c r="H116" s="360">
        <f t="shared" ca="1" si="41"/>
        <v>79.240783930823994</v>
      </c>
      <c r="I116" s="357">
        <f t="shared" ca="1" si="42"/>
        <v>80.905929026618281</v>
      </c>
      <c r="J116" s="359">
        <f t="shared" ca="1" si="43"/>
        <v>8.7257787529963426</v>
      </c>
      <c r="K116" s="360">
        <f t="shared" ca="1" si="44"/>
        <v>44.94031472195865</v>
      </c>
      <c r="L116" s="357">
        <f t="shared" ca="1" si="29"/>
        <v>45.779592638586635</v>
      </c>
      <c r="M116" s="359">
        <f t="shared" ca="1" si="45"/>
        <v>1.3675613036032068</v>
      </c>
      <c r="N116" s="357">
        <f t="shared" ca="1" si="46"/>
        <v>78.355490921872772</v>
      </c>
      <c r="O116" s="343"/>
      <c r="P116" s="363">
        <f t="shared" ca="1" si="47"/>
        <v>4</v>
      </c>
      <c r="Q116" s="357">
        <f t="shared" ca="1" si="48"/>
        <v>720.59999999999991</v>
      </c>
      <c r="R116" s="359">
        <f t="shared" ca="1" si="49"/>
        <v>0.36163556600611158</v>
      </c>
      <c r="S116" s="360">
        <f t="shared" ca="1" si="50"/>
        <v>9.2460900498938479</v>
      </c>
      <c r="T116" s="357">
        <f t="shared" ca="1" si="30"/>
        <v>90.70414338945865</v>
      </c>
      <c r="U116" s="364">
        <f t="shared" ca="1" si="31"/>
        <v>0</v>
      </c>
      <c r="V116" s="359">
        <f t="shared" ca="1" si="32"/>
        <v>1.2195071539580522</v>
      </c>
      <c r="W116" s="357">
        <f t="shared" ca="1" si="33"/>
        <v>18.068606860387593</v>
      </c>
      <c r="X116" s="343"/>
      <c r="Y116" s="367" t="str">
        <f t="shared" ca="1" si="51"/>
        <v/>
      </c>
      <c r="Z116" s="368" t="str">
        <f t="shared" ca="1" si="52"/>
        <v/>
      </c>
      <c r="AA116" s="369" t="str">
        <f t="shared" ca="1" si="53"/>
        <v/>
      </c>
      <c r="AB116" s="344"/>
      <c r="AC116" s="363" t="e">
        <f t="shared" ca="1" si="54"/>
        <v>#N/A</v>
      </c>
      <c r="AD116" s="376" t="e">
        <f t="shared" ca="1" si="55"/>
        <v>#N/A</v>
      </c>
      <c r="AE116" s="377">
        <f t="shared" ca="1" si="34"/>
        <v>44.94031472195865</v>
      </c>
      <c r="AF116" s="344"/>
      <c r="AG116" s="359">
        <f t="shared" ca="1" si="56"/>
        <v>66.404670614757705</v>
      </c>
      <c r="AH116" s="357">
        <f t="shared" ca="1" si="57"/>
        <v>76.013252278966306</v>
      </c>
    </row>
    <row r="117" spans="1:34" x14ac:dyDescent="0.25">
      <c r="A117" s="402">
        <f t="shared" ca="1" si="35"/>
        <v>0.01</v>
      </c>
      <c r="B117" s="357">
        <f t="shared" ca="1" si="36"/>
        <v>1.1300000000000008</v>
      </c>
      <c r="C117" s="342"/>
      <c r="D117" s="359">
        <f t="shared" ca="1" si="37"/>
        <v>15.307054120555541</v>
      </c>
      <c r="E117" s="360">
        <f t="shared" ca="1" si="38"/>
        <v>64.467166014321378</v>
      </c>
      <c r="F117" s="357">
        <f t="shared" ca="1" si="39"/>
        <v>66.25950044912571</v>
      </c>
      <c r="G117" s="359">
        <f t="shared" ca="1" si="40"/>
        <v>16.483028094385531</v>
      </c>
      <c r="H117" s="360">
        <f t="shared" ca="1" si="41"/>
        <v>79.885455590967211</v>
      </c>
      <c r="I117" s="357">
        <f t="shared" ca="1" si="42"/>
        <v>81.568230519833492</v>
      </c>
      <c r="J117" s="359">
        <f t="shared" ca="1" si="43"/>
        <v>8.8898436812341703</v>
      </c>
      <c r="K117" s="360">
        <f t="shared" ca="1" si="44"/>
        <v>45.735945919567605</v>
      </c>
      <c r="L117" s="357">
        <f t="shared" ca="1" si="29"/>
        <v>46.591909918293666</v>
      </c>
      <c r="M117" s="359">
        <f t="shared" ca="1" si="45"/>
        <v>1.3673185572706819</v>
      </c>
      <c r="N117" s="357">
        <f t="shared" ca="1" si="46"/>
        <v>78.341582581526808</v>
      </c>
      <c r="O117" s="343"/>
      <c r="P117" s="363">
        <f t="shared" ca="1" si="47"/>
        <v>4</v>
      </c>
      <c r="Q117" s="357">
        <f t="shared" ca="1" si="48"/>
        <v>718.99999999999989</v>
      </c>
      <c r="R117" s="359">
        <f t="shared" ca="1" si="49"/>
        <v>0.36083260055286454</v>
      </c>
      <c r="S117" s="360">
        <f t="shared" ca="1" si="50"/>
        <v>9.2424817238883197</v>
      </c>
      <c r="T117" s="357">
        <f t="shared" ca="1" si="30"/>
        <v>90.668745711344414</v>
      </c>
      <c r="U117" s="364">
        <f t="shared" ca="1" si="31"/>
        <v>0</v>
      </c>
      <c r="V117" s="359">
        <f t="shared" ca="1" si="32"/>
        <v>1.2194101295255388</v>
      </c>
      <c r="W117" s="357">
        <f t="shared" ca="1" si="33"/>
        <v>18.364178206008571</v>
      </c>
      <c r="X117" s="343"/>
      <c r="Y117" s="367" t="str">
        <f t="shared" ca="1" si="51"/>
        <v/>
      </c>
      <c r="Z117" s="368" t="str">
        <f t="shared" ca="1" si="52"/>
        <v/>
      </c>
      <c r="AA117" s="369" t="str">
        <f t="shared" ca="1" si="53"/>
        <v/>
      </c>
      <c r="AB117" s="344"/>
      <c r="AC117" s="363" t="e">
        <f t="shared" ca="1" si="54"/>
        <v>#N/A</v>
      </c>
      <c r="AD117" s="376" t="e">
        <f t="shared" ca="1" si="55"/>
        <v>#N/A</v>
      </c>
      <c r="AE117" s="377">
        <f t="shared" ca="1" si="34"/>
        <v>45.735945919567605</v>
      </c>
      <c r="AF117" s="344"/>
      <c r="AG117" s="359">
        <f t="shared" ca="1" si="56"/>
        <v>66.229908997934814</v>
      </c>
      <c r="AH117" s="357">
        <f t="shared" ca="1" si="57"/>
        <v>75.838006942223075</v>
      </c>
    </row>
    <row r="118" spans="1:34" x14ac:dyDescent="0.25">
      <c r="A118" s="402">
        <f t="shared" ca="1" si="35"/>
        <v>0.01</v>
      </c>
      <c r="B118" s="357">
        <f t="shared" ca="1" si="36"/>
        <v>1.1400000000000008</v>
      </c>
      <c r="C118" s="342"/>
      <c r="D118" s="359">
        <f t="shared" ca="1" si="37"/>
        <v>15.28959549891632</v>
      </c>
      <c r="E118" s="360">
        <f t="shared" ca="1" si="38"/>
        <v>64.291451216270858</v>
      </c>
      <c r="F118" s="357">
        <f t="shared" ca="1" si="39"/>
        <v>66.084509758449585</v>
      </c>
      <c r="G118" s="359">
        <f t="shared" ca="1" si="40"/>
        <v>16.635924049374694</v>
      </c>
      <c r="H118" s="360">
        <f t="shared" ca="1" si="41"/>
        <v>80.528370103129916</v>
      </c>
      <c r="I118" s="357">
        <f t="shared" ca="1" si="42"/>
        <v>82.228780609001078</v>
      </c>
      <c r="J118" s="359">
        <f t="shared" ca="1" si="43"/>
        <v>9.0554384419529708</v>
      </c>
      <c r="K118" s="360">
        <f t="shared" ca="1" si="44"/>
        <v>46.538015048038091</v>
      </c>
      <c r="L118" s="357">
        <f t="shared" ca="1" si="29"/>
        <v>47.410840637848004</v>
      </c>
      <c r="M118" s="359">
        <f t="shared" ca="1" si="45"/>
        <v>1.3670774773059571</v>
      </c>
      <c r="N118" s="357">
        <f t="shared" ca="1" si="46"/>
        <v>78.327769717022917</v>
      </c>
      <c r="O118" s="343"/>
      <c r="P118" s="363">
        <f t="shared" ca="1" si="47"/>
        <v>4</v>
      </c>
      <c r="Q118" s="357">
        <f t="shared" ca="1" si="48"/>
        <v>717.39999999999986</v>
      </c>
      <c r="R118" s="359">
        <f t="shared" ca="1" si="49"/>
        <v>0.36002963509961755</v>
      </c>
      <c r="S118" s="360">
        <f t="shared" ca="1" si="50"/>
        <v>9.2388814275373239</v>
      </c>
      <c r="T118" s="357">
        <f t="shared" ca="1" si="30"/>
        <v>90.633426804141152</v>
      </c>
      <c r="U118" s="364">
        <f t="shared" ca="1" si="31"/>
        <v>0</v>
      </c>
      <c r="V118" s="359">
        <f t="shared" ca="1" si="32"/>
        <v>1.2193123278053248</v>
      </c>
      <c r="W118" s="357">
        <f t="shared" ca="1" si="33"/>
        <v>18.661316673166429</v>
      </c>
      <c r="X118" s="343"/>
      <c r="Y118" s="367" t="str">
        <f t="shared" ca="1" si="51"/>
        <v/>
      </c>
      <c r="Z118" s="368" t="str">
        <f t="shared" ca="1" si="52"/>
        <v/>
      </c>
      <c r="AA118" s="369" t="str">
        <f t="shared" ca="1" si="53"/>
        <v/>
      </c>
      <c r="AB118" s="344"/>
      <c r="AC118" s="363" t="e">
        <f t="shared" ca="1" si="54"/>
        <v>#N/A</v>
      </c>
      <c r="AD118" s="376" t="e">
        <f t="shared" ca="1" si="55"/>
        <v>#N/A</v>
      </c>
      <c r="AE118" s="377">
        <f t="shared" ca="1" si="34"/>
        <v>46.538015048038091</v>
      </c>
      <c r="AF118" s="344"/>
      <c r="AG118" s="359">
        <f t="shared" ca="1" si="56"/>
        <v>66.054769961775392</v>
      </c>
      <c r="AH118" s="357">
        <f t="shared" ca="1" si="57"/>
        <v>75.662386975814158</v>
      </c>
    </row>
    <row r="119" spans="1:34" x14ac:dyDescent="0.25">
      <c r="A119" s="402">
        <f t="shared" ca="1" si="35"/>
        <v>0.01</v>
      </c>
      <c r="B119" s="357">
        <f t="shared" ca="1" si="36"/>
        <v>1.1500000000000008</v>
      </c>
      <c r="C119" s="342"/>
      <c r="D119" s="359">
        <f t="shared" ca="1" si="37"/>
        <v>15.27185397501756</v>
      </c>
      <c r="E119" s="360">
        <f t="shared" ca="1" si="38"/>
        <v>64.115410179267784</v>
      </c>
      <c r="F119" s="357">
        <f t="shared" ca="1" si="39"/>
        <v>65.909144633275389</v>
      </c>
      <c r="G119" s="359">
        <f t="shared" ca="1" si="40"/>
        <v>16.788642589124869</v>
      </c>
      <c r="H119" s="360">
        <f t="shared" ca="1" si="41"/>
        <v>81.169524204922595</v>
      </c>
      <c r="I119" s="357">
        <f t="shared" ca="1" si="42"/>
        <v>82.887575544461981</v>
      </c>
      <c r="J119" s="359">
        <f t="shared" ca="1" si="43"/>
        <v>9.222561275145468</v>
      </c>
      <c r="K119" s="360">
        <f t="shared" ca="1" si="44"/>
        <v>47.346504519578353</v>
      </c>
      <c r="L119" s="357">
        <f t="shared" ca="1" si="29"/>
        <v>48.236367262639774</v>
      </c>
      <c r="M119" s="359">
        <f t="shared" ca="1" si="45"/>
        <v>1.366838034025595</v>
      </c>
      <c r="N119" s="357">
        <f t="shared" ca="1" si="46"/>
        <v>78.314050627625406</v>
      </c>
      <c r="O119" s="343"/>
      <c r="P119" s="363">
        <f t="shared" ca="1" si="47"/>
        <v>4</v>
      </c>
      <c r="Q119" s="357">
        <f t="shared" ca="1" si="48"/>
        <v>715.79999999999984</v>
      </c>
      <c r="R119" s="359">
        <f t="shared" ca="1" si="49"/>
        <v>0.35922666964637057</v>
      </c>
      <c r="S119" s="360">
        <f t="shared" ca="1" si="50"/>
        <v>9.2352891608408605</v>
      </c>
      <c r="T119" s="357">
        <f t="shared" ca="1" si="30"/>
        <v>90.59818666784885</v>
      </c>
      <c r="U119" s="364">
        <f t="shared" ca="1" si="31"/>
        <v>0</v>
      </c>
      <c r="V119" s="359">
        <f t="shared" ca="1" si="32"/>
        <v>1.2192137511292673</v>
      </c>
      <c r="W119" s="357">
        <f t="shared" ca="1" si="33"/>
        <v>18.960000464380112</v>
      </c>
      <c r="X119" s="343"/>
      <c r="Y119" s="367" t="str">
        <f t="shared" ca="1" si="51"/>
        <v/>
      </c>
      <c r="Z119" s="368" t="str">
        <f t="shared" ca="1" si="52"/>
        <v/>
      </c>
      <c r="AA119" s="369" t="str">
        <f t="shared" ca="1" si="53"/>
        <v/>
      </c>
      <c r="AB119" s="344"/>
      <c r="AC119" s="363" t="e">
        <f t="shared" ca="1" si="54"/>
        <v>#N/A</v>
      </c>
      <c r="AD119" s="376" t="e">
        <f t="shared" ca="1" si="55"/>
        <v>#N/A</v>
      </c>
      <c r="AE119" s="377">
        <f t="shared" ca="1" si="34"/>
        <v>47.346504519578353</v>
      </c>
      <c r="AF119" s="344"/>
      <c r="AG119" s="359">
        <f t="shared" ca="1" si="56"/>
        <v>65.879255936073164</v>
      </c>
      <c r="AH119" s="357">
        <f t="shared" ca="1" si="57"/>
        <v>75.486394760958405</v>
      </c>
    </row>
    <row r="120" spans="1:34" x14ac:dyDescent="0.25">
      <c r="A120" s="402">
        <f t="shared" ca="1" si="35"/>
        <v>0.01</v>
      </c>
      <c r="B120" s="357">
        <f t="shared" ca="1" si="36"/>
        <v>1.1600000000000008</v>
      </c>
      <c r="C120" s="342"/>
      <c r="D120" s="359">
        <f t="shared" ca="1" si="37"/>
        <v>15.253832842778552</v>
      </c>
      <c r="E120" s="360">
        <f t="shared" ca="1" si="38"/>
        <v>63.939044782916923</v>
      </c>
      <c r="F120" s="357">
        <f t="shared" ca="1" si="39"/>
        <v>65.733407519672113</v>
      </c>
      <c r="G120" s="359">
        <f t="shared" ca="1" si="40"/>
        <v>16.941180917552654</v>
      </c>
      <c r="H120" s="360">
        <f t="shared" ca="1" si="41"/>
        <v>81.808914652751767</v>
      </c>
      <c r="I120" s="357">
        <f t="shared" ca="1" si="42"/>
        <v>83.544611600883471</v>
      </c>
      <c r="J120" s="359">
        <f t="shared" ca="1" si="43"/>
        <v>9.3912103926788557</v>
      </c>
      <c r="K120" s="360">
        <f t="shared" ca="1" si="44"/>
        <v>48.161396713866722</v>
      </c>
      <c r="L120" s="357">
        <f t="shared" ca="1" si="29"/>
        <v>49.068472220663359</v>
      </c>
      <c r="M120" s="359">
        <f t="shared" ca="1" si="45"/>
        <v>1.3666001985065144</v>
      </c>
      <c r="N120" s="357">
        <f t="shared" ca="1" si="46"/>
        <v>78.300423656163787</v>
      </c>
      <c r="O120" s="343"/>
      <c r="P120" s="363">
        <f t="shared" ca="1" si="47"/>
        <v>4</v>
      </c>
      <c r="Q120" s="357">
        <f t="shared" ca="1" si="48"/>
        <v>714.19999999999982</v>
      </c>
      <c r="R120" s="359">
        <f t="shared" ca="1" si="49"/>
        <v>0.35842370419312358</v>
      </c>
      <c r="S120" s="360">
        <f t="shared" ca="1" si="50"/>
        <v>9.2317049237989295</v>
      </c>
      <c r="T120" s="357">
        <f t="shared" ca="1" si="30"/>
        <v>90.563025302467508</v>
      </c>
      <c r="U120" s="364">
        <f t="shared" ca="1" si="31"/>
        <v>0</v>
      </c>
      <c r="V120" s="359">
        <f t="shared" ca="1" si="32"/>
        <v>1.2191144018339601</v>
      </c>
      <c r="W120" s="357">
        <f t="shared" ca="1" si="33"/>
        <v>19.26020779275046</v>
      </c>
      <c r="X120" s="343"/>
      <c r="Y120" s="367" t="str">
        <f t="shared" ca="1" si="51"/>
        <v/>
      </c>
      <c r="Z120" s="368" t="str">
        <f t="shared" ca="1" si="52"/>
        <v/>
      </c>
      <c r="AA120" s="369" t="str">
        <f t="shared" ca="1" si="53"/>
        <v/>
      </c>
      <c r="AB120" s="344"/>
      <c r="AC120" s="363" t="e">
        <f t="shared" ca="1" si="54"/>
        <v>#N/A</v>
      </c>
      <c r="AD120" s="376" t="e">
        <f t="shared" ca="1" si="55"/>
        <v>#N/A</v>
      </c>
      <c r="AE120" s="377">
        <f t="shared" ca="1" si="34"/>
        <v>48.161396713866722</v>
      </c>
      <c r="AF120" s="344"/>
      <c r="AG120" s="359">
        <f t="shared" ca="1" si="56"/>
        <v>65.703369354035061</v>
      </c>
      <c r="AH120" s="357">
        <f t="shared" ca="1" si="57"/>
        <v>75.310032683488572</v>
      </c>
    </row>
    <row r="121" spans="1:34" x14ac:dyDescent="0.25">
      <c r="A121" s="402">
        <f t="shared" ca="1" si="35"/>
        <v>0.01</v>
      </c>
      <c r="B121" s="357">
        <f t="shared" ca="1" si="36"/>
        <v>1.1700000000000008</v>
      </c>
      <c r="C121" s="342"/>
      <c r="D121" s="359">
        <f t="shared" ca="1" si="37"/>
        <v>15.235535325756766</v>
      </c>
      <c r="E121" s="360">
        <f t="shared" ca="1" si="38"/>
        <v>63.762356922440361</v>
      </c>
      <c r="F121" s="357">
        <f t="shared" ca="1" si="39"/>
        <v>65.557300867005353</v>
      </c>
      <c r="G121" s="359">
        <f t="shared" ca="1" si="40"/>
        <v>17.093536270810223</v>
      </c>
      <c r="H121" s="360">
        <f t="shared" ca="1" si="41"/>
        <v>82.446538221976169</v>
      </c>
      <c r="I121" s="357">
        <f t="shared" ca="1" si="42"/>
        <v>84.199885077292606</v>
      </c>
      <c r="J121" s="359">
        <f t="shared" ca="1" si="43"/>
        <v>9.56138397862067</v>
      </c>
      <c r="K121" s="360">
        <f t="shared" ca="1" si="44"/>
        <v>48.982673978240364</v>
      </c>
      <c r="L121" s="357">
        <f t="shared" ca="1" si="29"/>
        <v>49.907137902761058</v>
      </c>
      <c r="M121" s="359">
        <f t="shared" ca="1" si="45"/>
        <v>1.3663639425598304</v>
      </c>
      <c r="N121" s="357">
        <f t="shared" ca="1" si="46"/>
        <v>78.286887187533921</v>
      </c>
      <c r="O121" s="343"/>
      <c r="P121" s="363">
        <f t="shared" ca="1" si="47"/>
        <v>4</v>
      </c>
      <c r="Q121" s="357">
        <f t="shared" ca="1" si="48"/>
        <v>712.59999999999991</v>
      </c>
      <c r="R121" s="359">
        <f t="shared" ca="1" si="49"/>
        <v>0.3576207387398766</v>
      </c>
      <c r="S121" s="360">
        <f t="shared" ca="1" si="50"/>
        <v>9.2281287164115309</v>
      </c>
      <c r="T121" s="357">
        <f t="shared" ca="1" si="30"/>
        <v>90.527942707997127</v>
      </c>
      <c r="U121" s="364">
        <f t="shared" ca="1" si="31"/>
        <v>0</v>
      </c>
      <c r="V121" s="359">
        <f t="shared" ca="1" si="32"/>
        <v>1.2190142822606931</v>
      </c>
      <c r="W121" s="357">
        <f t="shared" ca="1" si="33"/>
        <v>19.561916882944246</v>
      </c>
      <c r="X121" s="343"/>
      <c r="Y121" s="367" t="str">
        <f t="shared" ca="1" si="51"/>
        <v/>
      </c>
      <c r="Z121" s="368" t="str">
        <f t="shared" ca="1" si="52"/>
        <v/>
      </c>
      <c r="AA121" s="369" t="str">
        <f t="shared" ca="1" si="53"/>
        <v/>
      </c>
      <c r="AB121" s="344"/>
      <c r="AC121" s="363" t="e">
        <f t="shared" ca="1" si="54"/>
        <v>#N/A</v>
      </c>
      <c r="AD121" s="376" t="e">
        <f t="shared" ca="1" si="55"/>
        <v>#N/A</v>
      </c>
      <c r="AE121" s="377">
        <f t="shared" ca="1" si="34"/>
        <v>48.982673978240364</v>
      </c>
      <c r="AF121" s="344"/>
      <c r="AG121" s="359">
        <f t="shared" ca="1" si="56"/>
        <v>65.527112652202902</v>
      </c>
      <c r="AH121" s="357">
        <f t="shared" ca="1" si="57"/>
        <v>75.133303133732511</v>
      </c>
    </row>
    <row r="122" spans="1:34" x14ac:dyDescent="0.25">
      <c r="A122" s="402">
        <f t="shared" ca="1" si="35"/>
        <v>0.01</v>
      </c>
      <c r="B122" s="357">
        <f t="shared" ca="1" si="36"/>
        <v>1.1800000000000008</v>
      </c>
      <c r="C122" s="342"/>
      <c r="D122" s="359">
        <f t="shared" ca="1" si="37"/>
        <v>15.216964579587099</v>
      </c>
      <c r="E122" s="360">
        <f t="shared" ca="1" si="38"/>
        <v>63.585348508183131</v>
      </c>
      <c r="F122" s="357">
        <f t="shared" ca="1" si="39"/>
        <v>65.380827127863071</v>
      </c>
      <c r="G122" s="359">
        <f t="shared" ca="1" si="40"/>
        <v>17.245705916606095</v>
      </c>
      <c r="H122" s="360">
        <f t="shared" ca="1" si="41"/>
        <v>83.082391707057994</v>
      </c>
      <c r="I122" s="357">
        <f t="shared" ca="1" si="42"/>
        <v>84.853392297109025</v>
      </c>
      <c r="J122" s="359">
        <f t="shared" ca="1" si="43"/>
        <v>9.7330801895577519</v>
      </c>
      <c r="K122" s="360">
        <f t="shared" ca="1" si="44"/>
        <v>49.810318627885536</v>
      </c>
      <c r="L122" s="357">
        <f t="shared" ca="1" si="29"/>
        <v>50.752346662867154</v>
      </c>
      <c r="M122" s="359">
        <f t="shared" ca="1" si="45"/>
        <v>1.3661292387058164</v>
      </c>
      <c r="N122" s="357">
        <f t="shared" ca="1" si="46"/>
        <v>78.273439647263459</v>
      </c>
      <c r="O122" s="343"/>
      <c r="P122" s="363">
        <f t="shared" ca="1" si="47"/>
        <v>4</v>
      </c>
      <c r="Q122" s="357">
        <f t="shared" ca="1" si="48"/>
        <v>710.99999999999989</v>
      </c>
      <c r="R122" s="359">
        <f t="shared" ca="1" si="49"/>
        <v>0.35681777328662961</v>
      </c>
      <c r="S122" s="360">
        <f t="shared" ca="1" si="50"/>
        <v>9.2245605386786647</v>
      </c>
      <c r="T122" s="357">
        <f t="shared" ca="1" si="30"/>
        <v>90.492938884437706</v>
      </c>
      <c r="U122" s="364">
        <f t="shared" ca="1" si="31"/>
        <v>0</v>
      </c>
      <c r="V122" s="359">
        <f t="shared" ca="1" si="32"/>
        <v>1.2189133947554138</v>
      </c>
      <c r="W122" s="357">
        <f t="shared" ca="1" si="33"/>
        <v>19.865105972174618</v>
      </c>
      <c r="X122" s="343"/>
      <c r="Y122" s="367" t="str">
        <f t="shared" ca="1" si="51"/>
        <v/>
      </c>
      <c r="Z122" s="368" t="str">
        <f t="shared" ca="1" si="52"/>
        <v/>
      </c>
      <c r="AA122" s="369" t="str">
        <f t="shared" ca="1" si="53"/>
        <v/>
      </c>
      <c r="AB122" s="344"/>
      <c r="AC122" s="363" t="e">
        <f t="shared" ca="1" si="54"/>
        <v>#N/A</v>
      </c>
      <c r="AD122" s="376" t="e">
        <f t="shared" ca="1" si="55"/>
        <v>#N/A</v>
      </c>
      <c r="AE122" s="377">
        <f t="shared" ca="1" si="34"/>
        <v>49.810318627885536</v>
      </c>
      <c r="AF122" s="344"/>
      <c r="AG122" s="359">
        <f t="shared" ca="1" si="56"/>
        <v>65.350488270373447</v>
      </c>
      <c r="AH122" s="357">
        <f t="shared" ca="1" si="57"/>
        <v>74.956208506394375</v>
      </c>
    </row>
    <row r="123" spans="1:34" x14ac:dyDescent="0.25">
      <c r="A123" s="402">
        <f t="shared" ca="1" si="35"/>
        <v>0.01</v>
      </c>
      <c r="B123" s="357">
        <f t="shared" ca="1" si="36"/>
        <v>1.1900000000000008</v>
      </c>
      <c r="C123" s="342"/>
      <c r="D123" s="359">
        <f t="shared" ca="1" si="37"/>
        <v>15.198123694315894</v>
      </c>
      <c r="E123" s="360">
        <f t="shared" ca="1" si="38"/>
        <v>63.408021465135079</v>
      </c>
      <c r="F123" s="357">
        <f t="shared" ca="1" si="39"/>
        <v>65.203988757979815</v>
      </c>
      <c r="G123" s="359">
        <f t="shared" ca="1" si="40"/>
        <v>17.397687153549253</v>
      </c>
      <c r="H123" s="360">
        <f t="shared" ca="1" si="41"/>
        <v>83.716471921709342</v>
      </c>
      <c r="I123" s="357">
        <f t="shared" ca="1" si="42"/>
        <v>85.505129608176844</v>
      </c>
      <c r="J123" s="359">
        <f t="shared" ca="1" si="43"/>
        <v>9.906297154908529</v>
      </c>
      <c r="K123" s="360">
        <f t="shared" ca="1" si="44"/>
        <v>50.644312946029373</v>
      </c>
      <c r="L123" s="357">
        <f t="shared" ca="1" si="29"/>
        <v>51.604080818252221</v>
      </c>
      <c r="M123" s="359">
        <f t="shared" ca="1" si="45"/>
        <v>1.3658960601499293</v>
      </c>
      <c r="N123" s="357">
        <f t="shared" ca="1" si="46"/>
        <v>78.260079500138175</v>
      </c>
      <c r="O123" s="343"/>
      <c r="P123" s="363">
        <f t="shared" ca="1" si="47"/>
        <v>4</v>
      </c>
      <c r="Q123" s="357">
        <f t="shared" ca="1" si="48"/>
        <v>709.39999999999986</v>
      </c>
      <c r="R123" s="359">
        <f t="shared" ca="1" si="49"/>
        <v>0.35601480783338263</v>
      </c>
      <c r="S123" s="360">
        <f t="shared" ca="1" si="50"/>
        <v>9.2210003906003308</v>
      </c>
      <c r="T123" s="357">
        <f t="shared" ca="1" si="30"/>
        <v>90.458013831789245</v>
      </c>
      <c r="U123" s="364">
        <f t="shared" ca="1" si="31"/>
        <v>0</v>
      </c>
      <c r="V123" s="359">
        <f t="shared" ca="1" si="32"/>
        <v>1.2188117416686879</v>
      </c>
      <c r="W123" s="357">
        <f t="shared" ca="1" si="33"/>
        <v>20.169753311177754</v>
      </c>
      <c r="X123" s="343"/>
      <c r="Y123" s="367" t="str">
        <f t="shared" ca="1" si="51"/>
        <v/>
      </c>
      <c r="Z123" s="368" t="str">
        <f t="shared" ca="1" si="52"/>
        <v/>
      </c>
      <c r="AA123" s="369" t="str">
        <f t="shared" ca="1" si="53"/>
        <v/>
      </c>
      <c r="AB123" s="344"/>
      <c r="AC123" s="363" t="e">
        <f t="shared" ca="1" si="54"/>
        <v>#N/A</v>
      </c>
      <c r="AD123" s="376" t="e">
        <f t="shared" ca="1" si="55"/>
        <v>#N/A</v>
      </c>
      <c r="AE123" s="377">
        <f t="shared" ca="1" si="34"/>
        <v>50.644312946029373</v>
      </c>
      <c r="AF123" s="344"/>
      <c r="AG123" s="359">
        <f t="shared" ca="1" si="56"/>
        <v>65.173498651516894</v>
      </c>
      <c r="AH123" s="357">
        <f t="shared" ca="1" si="57"/>
        <v>74.778751200435991</v>
      </c>
    </row>
    <row r="124" spans="1:34" x14ac:dyDescent="0.25">
      <c r="A124" s="402">
        <f t="shared" ca="1" si="35"/>
        <v>0.01</v>
      </c>
      <c r="B124" s="357">
        <f t="shared" ca="1" si="36"/>
        <v>1.2000000000000008</v>
      </c>
      <c r="C124" s="342"/>
      <c r="D124" s="359">
        <f t="shared" ca="1" si="37"/>
        <v>15.179015696635034</v>
      </c>
      <c r="E124" s="360">
        <f t="shared" ca="1" si="38"/>
        <v>63.23037773246736</v>
      </c>
      <c r="F124" s="357">
        <f t="shared" ca="1" si="39"/>
        <v>65.026788216159019</v>
      </c>
      <c r="G124" s="359">
        <f t="shared" ca="1" si="40"/>
        <v>17.549477310515602</v>
      </c>
      <c r="H124" s="360">
        <f t="shared" ca="1" si="41"/>
        <v>84.348775699034022</v>
      </c>
      <c r="I124" s="357">
        <f t="shared" ca="1" si="42"/>
        <v>86.155093382795741</v>
      </c>
      <c r="J124" s="359">
        <f t="shared" ca="1" si="43"/>
        <v>10.081032977228853</v>
      </c>
      <c r="K124" s="360">
        <f t="shared" ca="1" si="44"/>
        <v>51.484639184133087</v>
      </c>
      <c r="L124" s="357">
        <f t="shared" ca="1" si="29"/>
        <v>52.462322649767877</v>
      </c>
      <c r="M124" s="359">
        <f t="shared" ca="1" si="45"/>
        <v>1.3656643807598423</v>
      </c>
      <c r="N124" s="357">
        <f t="shared" ca="1" si="46"/>
        <v>78.246805248886034</v>
      </c>
      <c r="O124" s="343"/>
      <c r="P124" s="363">
        <f t="shared" ca="1" si="47"/>
        <v>4</v>
      </c>
      <c r="Q124" s="357">
        <f t="shared" ca="1" si="48"/>
        <v>707.79999999999984</v>
      </c>
      <c r="R124" s="359">
        <f t="shared" ca="1" si="49"/>
        <v>0.35521184238013565</v>
      </c>
      <c r="S124" s="360">
        <f t="shared" ca="1" si="50"/>
        <v>9.2174482721765294</v>
      </c>
      <c r="T124" s="357">
        <f t="shared" ca="1" si="30"/>
        <v>90.423167550051758</v>
      </c>
      <c r="U124" s="364">
        <f t="shared" ca="1" si="31"/>
        <v>0</v>
      </c>
      <c r="V124" s="359">
        <f t="shared" ca="1" si="32"/>
        <v>1.218709325355658</v>
      </c>
      <c r="W124" s="357">
        <f t="shared" ca="1" si="33"/>
        <v>20.475837165185688</v>
      </c>
      <c r="X124" s="343"/>
      <c r="Y124" s="367" t="str">
        <f t="shared" ca="1" si="51"/>
        <v/>
      </c>
      <c r="Z124" s="368" t="str">
        <f t="shared" ca="1" si="52"/>
        <v/>
      </c>
      <c r="AA124" s="369" t="str">
        <f t="shared" ca="1" si="53"/>
        <v/>
      </c>
      <c r="AB124" s="344"/>
      <c r="AC124" s="363" t="e">
        <f t="shared" ca="1" si="54"/>
        <v>#N/A</v>
      </c>
      <c r="AD124" s="376" t="e">
        <f t="shared" ca="1" si="55"/>
        <v>#N/A</v>
      </c>
      <c r="AE124" s="377">
        <f t="shared" ca="1" si="34"/>
        <v>51.484639184133087</v>
      </c>
      <c r="AF124" s="344"/>
      <c r="AG124" s="359">
        <f t="shared" ca="1" si="56"/>
        <v>64.99614624169385</v>
      </c>
      <c r="AH124" s="357">
        <f t="shared" ca="1" si="57"/>
        <v>74.600933618958194</v>
      </c>
    </row>
    <row r="125" spans="1:34" x14ac:dyDescent="0.25">
      <c r="A125" s="402">
        <f t="shared" ca="1" si="35"/>
        <v>0.01</v>
      </c>
      <c r="B125" s="357">
        <f t="shared" ca="1" si="36"/>
        <v>1.2100000000000009</v>
      </c>
      <c r="C125" s="342"/>
      <c r="D125" s="359">
        <f t="shared" ca="1" si="37"/>
        <v>15.159643552021377</v>
      </c>
      <c r="E125" s="360">
        <f t="shared" ca="1" si="38"/>
        <v>63.052419263083493</v>
      </c>
      <c r="F125" s="357">
        <f t="shared" ca="1" si="39"/>
        <v>64.849227964194043</v>
      </c>
      <c r="G125" s="359">
        <f t="shared" ca="1" si="40"/>
        <v>17.701073746035817</v>
      </c>
      <c r="H125" s="360">
        <f t="shared" ca="1" si="41"/>
        <v>84.979299891664851</v>
      </c>
      <c r="I125" s="357">
        <f t="shared" ca="1" si="42"/>
        <v>86.803280017751106</v>
      </c>
      <c r="J125" s="359">
        <f t="shared" ca="1" si="43"/>
        <v>10.25728573251161</v>
      </c>
      <c r="K125" s="360">
        <f t="shared" ca="1" si="44"/>
        <v>52.331279562086578</v>
      </c>
      <c r="L125" s="357">
        <f t="shared" ca="1" si="29"/>
        <v>53.32705440209169</v>
      </c>
      <c r="M125" s="359">
        <f t="shared" ca="1" si="45"/>
        <v>1.3654341750434387</v>
      </c>
      <c r="N125" s="357">
        <f t="shared" ca="1" si="46"/>
        <v>78.233615432916309</v>
      </c>
      <c r="O125" s="343"/>
      <c r="P125" s="363">
        <f t="shared" ca="1" si="47"/>
        <v>4</v>
      </c>
      <c r="Q125" s="357">
        <f t="shared" ca="1" si="48"/>
        <v>706.19999999999982</v>
      </c>
      <c r="R125" s="359">
        <f t="shared" ca="1" si="49"/>
        <v>0.35440887692688861</v>
      </c>
      <c r="S125" s="360">
        <f t="shared" ca="1" si="50"/>
        <v>9.2139041834072604</v>
      </c>
      <c r="T125" s="357">
        <f t="shared" ca="1" si="30"/>
        <v>90.388400039225232</v>
      </c>
      <c r="U125" s="364">
        <f t="shared" ca="1" si="31"/>
        <v>0</v>
      </c>
      <c r="V125" s="359">
        <f t="shared" ca="1" si="32"/>
        <v>1.2186061481760084</v>
      </c>
      <c r="W125" s="357">
        <f t="shared" ca="1" si="33"/>
        <v>20.783335814895338</v>
      </c>
      <c r="X125" s="343"/>
      <c r="Y125" s="367" t="str">
        <f t="shared" ca="1" si="51"/>
        <v/>
      </c>
      <c r="Z125" s="368" t="str">
        <f t="shared" ca="1" si="52"/>
        <v/>
      </c>
      <c r="AA125" s="369" t="str">
        <f t="shared" ca="1" si="53"/>
        <v/>
      </c>
      <c r="AB125" s="344"/>
      <c r="AC125" s="363" t="e">
        <f t="shared" ca="1" si="54"/>
        <v>#N/A</v>
      </c>
      <c r="AD125" s="376" t="e">
        <f t="shared" ca="1" si="55"/>
        <v>#N/A</v>
      </c>
      <c r="AE125" s="377">
        <f t="shared" ca="1" si="34"/>
        <v>52.331279562086578</v>
      </c>
      <c r="AF125" s="344"/>
      <c r="AG125" s="359">
        <f t="shared" ca="1" si="56"/>
        <v>64.818433489970985</v>
      </c>
      <c r="AH125" s="357">
        <f t="shared" ca="1" si="57"/>
        <v>74.422758169082286</v>
      </c>
    </row>
    <row r="126" spans="1:34" x14ac:dyDescent="0.25">
      <c r="A126" s="402">
        <f t="shared" ca="1" si="35"/>
        <v>0.01</v>
      </c>
      <c r="B126" s="357">
        <f t="shared" ca="1" si="36"/>
        <v>1.2200000000000009</v>
      </c>
      <c r="C126" s="342"/>
      <c r="D126" s="359">
        <f t="shared" ca="1" si="37"/>
        <v>15.140010166786013</v>
      </c>
      <c r="E126" s="360">
        <f t="shared" ca="1" si="38"/>
        <v>62.874148023184006</v>
      </c>
      <c r="F126" s="357">
        <f t="shared" ca="1" si="39"/>
        <v>64.671310466787645</v>
      </c>
      <c r="G126" s="359">
        <f t="shared" ca="1" si="40"/>
        <v>17.852473847703678</v>
      </c>
      <c r="H126" s="360">
        <f t="shared" ca="1" si="41"/>
        <v>85.608041371896689</v>
      </c>
      <c r="I126" s="357">
        <f t="shared" ca="1" si="42"/>
        <v>87.44968593434352</v>
      </c>
      <c r="J126" s="359">
        <f t="shared" ca="1" si="43"/>
        <v>10.435053470480307</v>
      </c>
      <c r="K126" s="360">
        <f t="shared" ca="1" si="44"/>
        <v>53.184216268404384</v>
      </c>
      <c r="L126" s="357">
        <f t="shared" ca="1" si="29"/>
        <v>54.198258283972486</v>
      </c>
      <c r="M126" s="359">
        <f t="shared" ca="1" si="45"/>
        <v>1.3652054181277142</v>
      </c>
      <c r="N126" s="357">
        <f t="shared" ca="1" si="46"/>
        <v>78.220508627110874</v>
      </c>
      <c r="O126" s="343"/>
      <c r="P126" s="363">
        <f t="shared" ca="1" si="47"/>
        <v>4</v>
      </c>
      <c r="Q126" s="357">
        <f t="shared" ca="1" si="48"/>
        <v>704.5999999999998</v>
      </c>
      <c r="R126" s="359">
        <f t="shared" ca="1" si="49"/>
        <v>0.35360591147364162</v>
      </c>
      <c r="S126" s="360">
        <f t="shared" ca="1" si="50"/>
        <v>9.2103681242925237</v>
      </c>
      <c r="T126" s="357">
        <f t="shared" ca="1" si="30"/>
        <v>90.353711299309666</v>
      </c>
      <c r="U126" s="364">
        <f t="shared" ca="1" si="31"/>
        <v>0</v>
      </c>
      <c r="V126" s="359">
        <f t="shared" ca="1" si="32"/>
        <v>1.21850221249392</v>
      </c>
      <c r="W126" s="357">
        <f t="shared" ca="1" si="33"/>
        <v>21.092227557433517</v>
      </c>
      <c r="X126" s="343"/>
      <c r="Y126" s="367" t="str">
        <f t="shared" ca="1" si="51"/>
        <v/>
      </c>
      <c r="Z126" s="368" t="str">
        <f t="shared" ca="1" si="52"/>
        <v/>
      </c>
      <c r="AA126" s="369" t="str">
        <f t="shared" ca="1" si="53"/>
        <v/>
      </c>
      <c r="AB126" s="344"/>
      <c r="AC126" s="363" t="e">
        <f t="shared" ca="1" si="54"/>
        <v>#N/A</v>
      </c>
      <c r="AD126" s="376" t="e">
        <f t="shared" ca="1" si="55"/>
        <v>#N/A</v>
      </c>
      <c r="AE126" s="377">
        <f t="shared" ca="1" si="34"/>
        <v>53.184216268404384</v>
      </c>
      <c r="AF126" s="344"/>
      <c r="AG126" s="359">
        <f t="shared" ca="1" si="56"/>
        <v>64.6403628483354</v>
      </c>
      <c r="AH126" s="357">
        <f t="shared" ca="1" si="57"/>
        <v>74.244227261831668</v>
      </c>
    </row>
    <row r="127" spans="1:34" x14ac:dyDescent="0.25">
      <c r="A127" s="402">
        <f t="shared" ca="1" si="35"/>
        <v>0.01</v>
      </c>
      <c r="B127" s="357">
        <f t="shared" ca="1" si="36"/>
        <v>1.2300000000000009</v>
      </c>
      <c r="C127" s="342"/>
      <c r="D127" s="359">
        <f t="shared" ca="1" si="37"/>
        <v>15.120118390038003</v>
      </c>
      <c r="E127" s="360">
        <f t="shared" ca="1" si="38"/>
        <v>62.695565991844049</v>
      </c>
      <c r="F127" s="357">
        <f t="shared" ca="1" si="39"/>
        <v>64.493038191470234</v>
      </c>
      <c r="G127" s="359">
        <f t="shared" ca="1" si="40"/>
        <v>18.003675031604057</v>
      </c>
      <c r="H127" s="360">
        <f t="shared" ca="1" si="41"/>
        <v>86.234997031815126</v>
      </c>
      <c r="I127" s="357">
        <f t="shared" ca="1" si="42"/>
        <v>88.094307578417158</v>
      </c>
      <c r="J127" s="359">
        <f t="shared" ca="1" si="43"/>
        <v>10.614334214876846</v>
      </c>
      <c r="K127" s="360">
        <f t="shared" ca="1" si="44"/>
        <v>54.043431460422944</v>
      </c>
      <c r="L127" s="357">
        <f t="shared" ca="1" si="29"/>
        <v>55.075916468475924</v>
      </c>
      <c r="M127" s="359">
        <f t="shared" ca="1" si="45"/>
        <v>1.364978085738547</v>
      </c>
      <c r="N127" s="357">
        <f t="shared" ca="1" si="46"/>
        <v>78.207483440664959</v>
      </c>
      <c r="O127" s="343"/>
      <c r="P127" s="363">
        <f t="shared" ca="1" si="47"/>
        <v>4</v>
      </c>
      <c r="Q127" s="357">
        <f t="shared" ca="1" si="48"/>
        <v>702.99999999999989</v>
      </c>
      <c r="R127" s="359">
        <f t="shared" ca="1" si="49"/>
        <v>0.35280294602039469</v>
      </c>
      <c r="S127" s="360">
        <f t="shared" ca="1" si="50"/>
        <v>9.2068400948323195</v>
      </c>
      <c r="T127" s="357">
        <f t="shared" ca="1" si="30"/>
        <v>90.31910133030506</v>
      </c>
      <c r="U127" s="364">
        <f t="shared" ca="1" si="31"/>
        <v>0</v>
      </c>
      <c r="V127" s="359">
        <f t="shared" ca="1" si="32"/>
        <v>1.2183975206780333</v>
      </c>
      <c r="W127" s="357">
        <f t="shared" ca="1" si="33"/>
        <v>21.402490707317963</v>
      </c>
      <c r="X127" s="343"/>
      <c r="Y127" s="367" t="str">
        <f t="shared" ca="1" si="51"/>
        <v/>
      </c>
      <c r="Z127" s="368" t="str">
        <f t="shared" ca="1" si="52"/>
        <v/>
      </c>
      <c r="AA127" s="369" t="str">
        <f t="shared" ca="1" si="53"/>
        <v/>
      </c>
      <c r="AB127" s="344"/>
      <c r="AC127" s="363" t="e">
        <f t="shared" ca="1" si="54"/>
        <v>#N/A</v>
      </c>
      <c r="AD127" s="376" t="e">
        <f t="shared" ca="1" si="55"/>
        <v>#N/A</v>
      </c>
      <c r="AE127" s="377">
        <f t="shared" ca="1" si="34"/>
        <v>54.043431460422944</v>
      </c>
      <c r="AF127" s="344"/>
      <c r="AG127" s="359">
        <f t="shared" ca="1" si="56"/>
        <v>64.461936771607682</v>
      </c>
      <c r="AH127" s="357">
        <f t="shared" ca="1" si="57"/>
        <v>74.065343312013468</v>
      </c>
    </row>
    <row r="128" spans="1:34" x14ac:dyDescent="0.25">
      <c r="A128" s="402">
        <f t="shared" ca="1" si="35"/>
        <v>0.01</v>
      </c>
      <c r="B128" s="357">
        <f t="shared" ca="1" si="36"/>
        <v>1.2400000000000009</v>
      </c>
      <c r="C128" s="342"/>
      <c r="D128" s="359">
        <f t="shared" ca="1" si="37"/>
        <v>15.099971015566712</v>
      </c>
      <c r="E128" s="360">
        <f t="shared" ca="1" si="38"/>
        <v>62.516675160603199</v>
      </c>
      <c r="F128" s="357">
        <f t="shared" ca="1" si="39"/>
        <v>64.314413608516517</v>
      </c>
      <c r="G128" s="359">
        <f t="shared" ca="1" si="40"/>
        <v>18.154674741759724</v>
      </c>
      <c r="H128" s="360">
        <f t="shared" ca="1" si="41"/>
        <v>86.860163783421157</v>
      </c>
      <c r="I128" s="357">
        <f t="shared" ca="1" si="42"/>
        <v>88.737141420387417</v>
      </c>
      <c r="J128" s="359">
        <f t="shared" ca="1" si="43"/>
        <v>10.795125963743665</v>
      </c>
      <c r="K128" s="360">
        <f t="shared" ca="1" si="44"/>
        <v>54.908907264499128</v>
      </c>
      <c r="L128" s="357">
        <f t="shared" ca="1" si="29"/>
        <v>55.9600110932303</v>
      </c>
      <c r="M128" s="359">
        <f t="shared" ca="1" si="45"/>
        <v>1.3647521541812888</v>
      </c>
      <c r="N128" s="357">
        <f t="shared" ca="1" si="46"/>
        <v>78.194538515975253</v>
      </c>
      <c r="O128" s="343"/>
      <c r="P128" s="363">
        <f t="shared" ca="1" si="47"/>
        <v>4</v>
      </c>
      <c r="Q128" s="357">
        <f t="shared" ca="1" si="48"/>
        <v>701.39999999999986</v>
      </c>
      <c r="R128" s="359">
        <f t="shared" ca="1" si="49"/>
        <v>0.35199998056714771</v>
      </c>
      <c r="S128" s="360">
        <f t="shared" ca="1" si="50"/>
        <v>9.2033200950266476</v>
      </c>
      <c r="T128" s="357">
        <f t="shared" ca="1" si="30"/>
        <v>90.284570132211414</v>
      </c>
      <c r="U128" s="364">
        <f t="shared" ca="1" si="31"/>
        <v>0</v>
      </c>
      <c r="V128" s="359">
        <f t="shared" ca="1" si="32"/>
        <v>1.2182920751014086</v>
      </c>
      <c r="W128" s="357">
        <f t="shared" ca="1" si="33"/>
        <v>21.714103597414368</v>
      </c>
      <c r="X128" s="343"/>
      <c r="Y128" s="367" t="str">
        <f t="shared" ca="1" si="51"/>
        <v/>
      </c>
      <c r="Z128" s="368" t="str">
        <f t="shared" ca="1" si="52"/>
        <v/>
      </c>
      <c r="AA128" s="369" t="str">
        <f t="shared" ca="1" si="53"/>
        <v/>
      </c>
      <c r="AB128" s="344"/>
      <c r="AC128" s="363" t="e">
        <f t="shared" ca="1" si="54"/>
        <v>#N/A</v>
      </c>
      <c r="AD128" s="376" t="e">
        <f t="shared" ca="1" si="55"/>
        <v>#N/A</v>
      </c>
      <c r="AE128" s="377">
        <f t="shared" ca="1" si="34"/>
        <v>54.908907264499128</v>
      </c>
      <c r="AF128" s="344"/>
      <c r="AG128" s="359">
        <f t="shared" ca="1" si="56"/>
        <v>64.283157717353859</v>
      </c>
      <c r="AH128" s="357">
        <f t="shared" ca="1" si="57"/>
        <v>73.886108738100233</v>
      </c>
    </row>
    <row r="129" spans="1:34" x14ac:dyDescent="0.25">
      <c r="A129" s="402">
        <f t="shared" ca="1" si="35"/>
        <v>0.01</v>
      </c>
      <c r="B129" s="357">
        <f t="shared" ca="1" si="36"/>
        <v>1.2500000000000009</v>
      </c>
      <c r="C129" s="342"/>
      <c r="D129" s="359">
        <f t="shared" ca="1" si="37"/>
        <v>15.079570783646838</v>
      </c>
      <c r="E129" s="360">
        <f t="shared" ca="1" si="38"/>
        <v>62.337477533067457</v>
      </c>
      <c r="F129" s="357">
        <f t="shared" ca="1" si="39"/>
        <v>64.13543919086159</v>
      </c>
      <c r="G129" s="359">
        <f t="shared" ca="1" si="40"/>
        <v>18.305470449596193</v>
      </c>
      <c r="H129" s="360">
        <f t="shared" ca="1" si="41"/>
        <v>87.483538558751832</v>
      </c>
      <c r="I129" s="357">
        <f t="shared" ca="1" si="42"/>
        <v>89.378183955267616</v>
      </c>
      <c r="J129" s="359">
        <f t="shared" ca="1" si="43"/>
        <v>10.977426689700444</v>
      </c>
      <c r="K129" s="360">
        <f t="shared" ca="1" si="44"/>
        <v>55.780625776209995</v>
      </c>
      <c r="L129" s="357">
        <f t="shared" ca="1" si="29"/>
        <v>56.850524260672657</v>
      </c>
      <c r="M129" s="359">
        <f t="shared" ca="1" si="45"/>
        <v>1.3645276003221409</v>
      </c>
      <c r="N129" s="357">
        <f t="shared" ca="1" si="46"/>
        <v>78.181672527572701</v>
      </c>
      <c r="O129" s="343"/>
      <c r="P129" s="363">
        <f t="shared" ca="1" si="47"/>
        <v>4</v>
      </c>
      <c r="Q129" s="357">
        <f t="shared" ca="1" si="48"/>
        <v>699.79999999999984</v>
      </c>
      <c r="R129" s="359">
        <f t="shared" ca="1" si="49"/>
        <v>0.35119701511390067</v>
      </c>
      <c r="S129" s="360">
        <f t="shared" ca="1" si="50"/>
        <v>9.1998081248755081</v>
      </c>
      <c r="T129" s="357">
        <f t="shared" ca="1" si="30"/>
        <v>90.250117705028742</v>
      </c>
      <c r="U129" s="364">
        <f t="shared" ca="1" si="31"/>
        <v>0</v>
      </c>
      <c r="V129" s="359">
        <f t="shared" ca="1" si="32"/>
        <v>1.2181858781414836</v>
      </c>
      <c r="W129" s="357">
        <f t="shared" ca="1" si="33"/>
        <v>22.027044579889171</v>
      </c>
      <c r="X129" s="343"/>
      <c r="Y129" s="367" t="str">
        <f t="shared" ca="1" si="51"/>
        <v/>
      </c>
      <c r="Z129" s="368" t="str">
        <f t="shared" ca="1" si="52"/>
        <v/>
      </c>
      <c r="AA129" s="369" t="str">
        <f t="shared" ca="1" si="53"/>
        <v/>
      </c>
      <c r="AB129" s="344"/>
      <c r="AC129" s="363" t="e">
        <f t="shared" ca="1" si="54"/>
        <v>#N/A</v>
      </c>
      <c r="AD129" s="376" t="e">
        <f t="shared" ca="1" si="55"/>
        <v>#N/A</v>
      </c>
      <c r="AE129" s="377">
        <f t="shared" ca="1" si="34"/>
        <v>55.780625776209995</v>
      </c>
      <c r="AF129" s="344"/>
      <c r="AG129" s="359">
        <f t="shared" ca="1" si="56"/>
        <v>64.104028145796363</v>
      </c>
      <c r="AH129" s="357">
        <f t="shared" ca="1" si="57"/>
        <v>73.706525962111996</v>
      </c>
    </row>
    <row r="130" spans="1:34" x14ac:dyDescent="0.25">
      <c r="A130" s="402">
        <f t="shared" ca="1" si="35"/>
        <v>0.01</v>
      </c>
      <c r="B130" s="357">
        <f t="shared" ca="1" si="36"/>
        <v>1.2600000000000009</v>
      </c>
      <c r="C130" s="342"/>
      <c r="D130" s="359">
        <f t="shared" ca="1" si="37"/>
        <v>15.058920382769763</v>
      </c>
      <c r="E130" s="360">
        <f t="shared" ca="1" si="38"/>
        <v>62.157975124522011</v>
      </c>
      <c r="F130" s="357">
        <f t="shared" ca="1" si="39"/>
        <v>63.956117414015175</v>
      </c>
      <c r="G130" s="359">
        <f t="shared" ca="1" si="40"/>
        <v>18.456059653423889</v>
      </c>
      <c r="H130" s="360">
        <f t="shared" ca="1" si="41"/>
        <v>88.105118309997053</v>
      </c>
      <c r="I130" s="357">
        <f t="shared" ca="1" si="42"/>
        <v>90.017431702694779</v>
      </c>
      <c r="J130" s="359">
        <f t="shared" ca="1" si="43"/>
        <v>11.161234340215545</v>
      </c>
      <c r="K130" s="360">
        <f t="shared" ca="1" si="44"/>
        <v>56.658569060553738</v>
      </c>
      <c r="L130" s="357">
        <f t="shared" ca="1" si="29"/>
        <v>57.747438038295208</v>
      </c>
      <c r="M130" s="359">
        <f t="shared" ca="1" si="45"/>
        <v>1.3643044015702759</v>
      </c>
      <c r="N130" s="357">
        <f t="shared" ca="1" si="46"/>
        <v>78.16888418109825</v>
      </c>
      <c r="O130" s="343"/>
      <c r="P130" s="363">
        <f t="shared" ca="1" si="47"/>
        <v>4</v>
      </c>
      <c r="Q130" s="357">
        <f t="shared" ca="1" si="48"/>
        <v>698.19999999999982</v>
      </c>
      <c r="R130" s="359">
        <f t="shared" ca="1" si="49"/>
        <v>0.35039404966065368</v>
      </c>
      <c r="S130" s="360">
        <f t="shared" ca="1" si="50"/>
        <v>9.1963041843789011</v>
      </c>
      <c r="T130" s="357">
        <f t="shared" ca="1" si="30"/>
        <v>90.215744048757017</v>
      </c>
      <c r="U130" s="364">
        <f t="shared" ca="1" si="31"/>
        <v>0</v>
      </c>
      <c r="V130" s="359">
        <f t="shared" ca="1" si="32"/>
        <v>1.2180789321800349</v>
      </c>
      <c r="W130" s="357">
        <f t="shared" ca="1" si="33"/>
        <v>22.341292027158278</v>
      </c>
      <c r="X130" s="343"/>
      <c r="Y130" s="367" t="str">
        <f t="shared" ca="1" si="51"/>
        <v/>
      </c>
      <c r="Z130" s="368" t="str">
        <f t="shared" ca="1" si="52"/>
        <v/>
      </c>
      <c r="AA130" s="369" t="str">
        <f t="shared" ca="1" si="53"/>
        <v/>
      </c>
      <c r="AB130" s="344"/>
      <c r="AC130" s="363" t="e">
        <f t="shared" ca="1" si="54"/>
        <v>#N/A</v>
      </c>
      <c r="AD130" s="376" t="e">
        <f t="shared" ca="1" si="55"/>
        <v>#N/A</v>
      </c>
      <c r="AE130" s="377">
        <f t="shared" ca="1" si="34"/>
        <v>56.658569060553738</v>
      </c>
      <c r="AF130" s="344"/>
      <c r="AG130" s="359">
        <f t="shared" ca="1" si="56"/>
        <v>63.924550519723809</v>
      </c>
      <c r="AH130" s="357">
        <f t="shared" ca="1" si="57"/>
        <v>73.526597409498137</v>
      </c>
    </row>
    <row r="131" spans="1:34" x14ac:dyDescent="0.25">
      <c r="A131" s="402">
        <f t="shared" ca="1" si="35"/>
        <v>0.01</v>
      </c>
      <c r="B131" s="357">
        <f t="shared" ca="1" si="36"/>
        <v>1.2700000000000009</v>
      </c>
      <c r="C131" s="342"/>
      <c r="D131" s="359">
        <f t="shared" ca="1" si="37"/>
        <v>15.03802245130473</v>
      </c>
      <c r="E131" s="360">
        <f t="shared" ca="1" si="38"/>
        <v>61.978169961555153</v>
      </c>
      <c r="F131" s="357">
        <f t="shared" ca="1" si="39"/>
        <v>63.776450755975461</v>
      </c>
      <c r="G131" s="359">
        <f t="shared" ca="1" si="40"/>
        <v>18.606439877936936</v>
      </c>
      <c r="H131" s="360">
        <f t="shared" ca="1" si="41"/>
        <v>88.724900009612611</v>
      </c>
      <c r="I131" s="357">
        <f t="shared" ca="1" si="42"/>
        <v>90.654881206954528</v>
      </c>
      <c r="J131" s="359">
        <f t="shared" ca="1" si="43"/>
        <v>11.346546837872349</v>
      </c>
      <c r="K131" s="360">
        <f t="shared" ca="1" si="44"/>
        <v>57.54271915215179</v>
      </c>
      <c r="L131" s="357">
        <f t="shared" ca="1" si="29"/>
        <v>58.650734458891883</v>
      </c>
      <c r="M131" s="359">
        <f t="shared" ca="1" si="45"/>
        <v>1.364082535860667</v>
      </c>
      <c r="N131" s="357">
        <f t="shared" ca="1" si="46"/>
        <v>78.156172212318992</v>
      </c>
      <c r="O131" s="343"/>
      <c r="P131" s="363">
        <f t="shared" ca="1" si="47"/>
        <v>4</v>
      </c>
      <c r="Q131" s="357">
        <f t="shared" ca="1" si="48"/>
        <v>696.5999999999998</v>
      </c>
      <c r="R131" s="359">
        <f t="shared" ca="1" si="49"/>
        <v>0.3495910842074067</v>
      </c>
      <c r="S131" s="360">
        <f t="shared" ca="1" si="50"/>
        <v>9.1928082735368264</v>
      </c>
      <c r="T131" s="357">
        <f t="shared" ca="1" si="30"/>
        <v>90.181449163396266</v>
      </c>
      <c r="U131" s="364">
        <f t="shared" ca="1" si="31"/>
        <v>0</v>
      </c>
      <c r="V131" s="359">
        <f t="shared" ca="1" si="32"/>
        <v>1.2179712396031366</v>
      </c>
      <c r="W131" s="357">
        <f t="shared" ca="1" si="33"/>
        <v>22.656824332831462</v>
      </c>
      <c r="X131" s="343"/>
      <c r="Y131" s="367" t="str">
        <f t="shared" ca="1" si="51"/>
        <v/>
      </c>
      <c r="Z131" s="368" t="str">
        <f t="shared" ca="1" si="52"/>
        <v/>
      </c>
      <c r="AA131" s="369" t="str">
        <f t="shared" ca="1" si="53"/>
        <v/>
      </c>
      <c r="AB131" s="344"/>
      <c r="AC131" s="363" t="e">
        <f t="shared" ca="1" si="54"/>
        <v>#N/A</v>
      </c>
      <c r="AD131" s="376" t="e">
        <f t="shared" ca="1" si="55"/>
        <v>#N/A</v>
      </c>
      <c r="AE131" s="377">
        <f t="shared" ca="1" si="34"/>
        <v>57.54271915215179</v>
      </c>
      <c r="AF131" s="344"/>
      <c r="AG131" s="359">
        <f t="shared" ca="1" si="56"/>
        <v>63.744727304400001</v>
      </c>
      <c r="AH131" s="357">
        <f t="shared" ca="1" si="57"/>
        <v>73.346325509019707</v>
      </c>
    </row>
    <row r="132" spans="1:34" x14ac:dyDescent="0.25">
      <c r="A132" s="402">
        <f t="shared" ca="1" si="35"/>
        <v>0.01</v>
      </c>
      <c r="B132" s="357">
        <f t="shared" ca="1" si="36"/>
        <v>1.2800000000000009</v>
      </c>
      <c r="C132" s="342"/>
      <c r="D132" s="359">
        <f t="shared" ca="1" si="37"/>
        <v>15.016879579093434</v>
      </c>
      <c r="E132" s="360">
        <f t="shared" ca="1" si="38"/>
        <v>61.798064081692075</v>
      </c>
      <c r="F132" s="357">
        <f t="shared" ca="1" si="39"/>
        <v>63.596441697141465</v>
      </c>
      <c r="G132" s="359">
        <f t="shared" ca="1" si="40"/>
        <v>18.756608673727868</v>
      </c>
      <c r="H132" s="360">
        <f t="shared" ca="1" si="41"/>
        <v>89.342880650429535</v>
      </c>
      <c r="I132" s="357">
        <f t="shared" ca="1" si="42"/>
        <v>91.290529037005044</v>
      </c>
      <c r="J132" s="359">
        <f t="shared" ca="1" si="43"/>
        <v>11.533362080630674</v>
      </c>
      <c r="K132" s="360">
        <f t="shared" ca="1" si="44"/>
        <v>58.433058055452001</v>
      </c>
      <c r="L132" s="357">
        <f t="shared" ref="L132:L195" ca="1" si="58">SQRT(pos_x^2+pos_z^2)</f>
        <v>59.560395520805208</v>
      </c>
      <c r="M132" s="359">
        <f t="shared" ca="1" si="45"/>
        <v>1.3638619816375956</v>
      </c>
      <c r="N132" s="357">
        <f t="shared" ca="1" si="46"/>
        <v>78.143535386183217</v>
      </c>
      <c r="O132" s="343"/>
      <c r="P132" s="363">
        <f t="shared" ca="1" si="47"/>
        <v>4</v>
      </c>
      <c r="Q132" s="357">
        <f t="shared" ca="1" si="48"/>
        <v>694.99999999999989</v>
      </c>
      <c r="R132" s="359">
        <f t="shared" ca="1" si="49"/>
        <v>0.34878811875415977</v>
      </c>
      <c r="S132" s="360">
        <f t="shared" ca="1" si="50"/>
        <v>9.1893203923492841</v>
      </c>
      <c r="T132" s="357">
        <f t="shared" ref="T132:T195" ca="1" si="59">m*g</f>
        <v>90.147233048946475</v>
      </c>
      <c r="U132" s="364">
        <f t="shared" ref="U132:U195" ca="1" si="60">IF(pos_xz&lt;L_rampe,Poids*COS(Beta),0)</f>
        <v>0</v>
      </c>
      <c r="V132" s="359">
        <f t="shared" ref="V132:V195" ca="1" si="61">Rho_moyen*(20000-Alt_rampe-pos_z)/(20000+Alt_rampe+pos_z)</f>
        <v>1.2178628028011209</v>
      </c>
      <c r="W132" s="357">
        <f t="shared" ref="W132:W195" ca="1" si="62">1/2*Rho*Sref*Cx*vit_xz^2</f>
        <v>22.973619912652513</v>
      </c>
      <c r="X132" s="343"/>
      <c r="Y132" s="367" t="str">
        <f t="shared" ca="1" si="51"/>
        <v/>
      </c>
      <c r="Z132" s="368" t="str">
        <f t="shared" ca="1" si="52"/>
        <v/>
      </c>
      <c r="AA132" s="369" t="str">
        <f t="shared" ca="1" si="53"/>
        <v/>
      </c>
      <c r="AB132" s="344"/>
      <c r="AC132" s="363" t="e">
        <f t="shared" ca="1" si="54"/>
        <v>#N/A</v>
      </c>
      <c r="AD132" s="376" t="e">
        <f t="shared" ca="1" si="55"/>
        <v>#N/A</v>
      </c>
      <c r="AE132" s="377">
        <f t="shared" ref="AE132:AE195" ca="1" si="63">IF(t&lt;T_para, pos_z, NA())</f>
        <v>58.433058055452001</v>
      </c>
      <c r="AF132" s="344"/>
      <c r="AG132" s="359">
        <f t="shared" ca="1" si="56"/>
        <v>63.564560967471891</v>
      </c>
      <c r="AH132" s="357">
        <f t="shared" ca="1" si="57"/>
        <v>73.165712692631601</v>
      </c>
    </row>
    <row r="133" spans="1:34" x14ac:dyDescent="0.25">
      <c r="A133" s="402">
        <f t="shared" ref="A133:A196" ca="1" si="64">IF(B132+0.01&lt;=T_ini+ROUNDUP(Temps_fin_propu,0), 0.01, IF(K132&gt;0, 0.1, 0.0001))</f>
        <v>0.01</v>
      </c>
      <c r="B133" s="357">
        <f t="shared" ref="B133:B196" ca="1" si="65">B132+pas</f>
        <v>1.2900000000000009</v>
      </c>
      <c r="C133" s="342"/>
      <c r="D133" s="359">
        <f t="shared" ref="D133:D196" ca="1" si="66">IF(AND(L132&lt;L_rampe,Poussee&lt;Poids*SIN(M132)),0,(-W132+Poussee)/m*COS(M132)-U132/m*SIN(M132))</f>
        <v>14.995494308980893</v>
      </c>
      <c r="E133" s="360">
        <f t="shared" ref="E133:E196" ca="1" si="67">IF(AND(L132&lt;L_rampe,Poussee&lt;Poids*SIN(M132)),0,(-W132+Poussee)/m*SIN(M132)+U132/m*COS(M132)-Poids/m)</f>
        <v>61.617659533038719</v>
      </c>
      <c r="F133" s="357">
        <f t="shared" ref="F133:F196" ca="1" si="68">SQRT(acc_x^2+acc_z^2)</f>
        <v>63.416092720224853</v>
      </c>
      <c r="G133" s="359">
        <f t="shared" ref="G133:G196" ca="1" si="69">G132+acc_x*pas</f>
        <v>18.906563616817678</v>
      </c>
      <c r="H133" s="360">
        <f t="shared" ref="H133:H196" ca="1" si="70">H132+acc_z*pas</f>
        <v>89.959057245759922</v>
      </c>
      <c r="I133" s="357">
        <f t="shared" ref="I133:I196" ca="1" si="71">SQRT(vit_x^2+vit_z^2)</f>
        <v>91.924371786500046</v>
      </c>
      <c r="J133" s="359">
        <f t="shared" ref="J133:J196" ca="1" si="72">J132+0.5*(vit_x+G132)*pas*(K132&gt;=0)</f>
        <v>11.721677942083401</v>
      </c>
      <c r="K133" s="360">
        <f t="shared" ref="K133:K196" ca="1" si="73">K132+0.5*(vit_z+H132)*pas</f>
        <v>59.329567744932952</v>
      </c>
      <c r="L133" s="357">
        <f t="shared" ca="1" si="58"/>
        <v>60.476403188173428</v>
      </c>
      <c r="M133" s="359">
        <f t="shared" ref="M133:M196" ca="1" si="74">IF(AND(L132&gt;L_rampe,G133&gt;0),ATAN2(G133,H133),$M$4)</f>
        <v>1.3636427178388035</v>
      </c>
      <c r="N133" s="357">
        <f t="shared" ref="N133:N196" ca="1" si="75">DEGREES(Beta)</f>
        <v>78.130972495912417</v>
      </c>
      <c r="O133" s="343"/>
      <c r="P133" s="363">
        <f t="shared" ref="P133:P196" ca="1" si="76">MATCH(t-pas/2-T_ini,CdP_t)</f>
        <v>4</v>
      </c>
      <c r="Q133" s="357">
        <f t="shared" ref="Q133:Q196" ca="1" si="77">(INDEX(CdP,2,i_P+1)-INDEX(CdP,2,i_P+0))/(INDEX(CdP,1,i_P+1)-INDEX(CdP,1,i_P+0))*(t-pas/2-T_ini-INDEX(CdP,1,i_P+0))+INDEX(CdP,2,i_P+0)</f>
        <v>693.39999999999986</v>
      </c>
      <c r="R133" s="359">
        <f t="shared" ref="R133:R196" ca="1" si="78">Poussee/(g*ISP)</f>
        <v>0.34798515330091273</v>
      </c>
      <c r="S133" s="360">
        <f t="shared" ref="S133:S196" ca="1" si="79">S132-Débit*pas</f>
        <v>9.1858405408162742</v>
      </c>
      <c r="T133" s="357">
        <f t="shared" ca="1" si="59"/>
        <v>90.113095705407659</v>
      </c>
      <c r="U133" s="364">
        <f t="shared" ca="1" si="60"/>
        <v>0</v>
      </c>
      <c r="V133" s="359">
        <f t="shared" ca="1" si="61"/>
        <v>1.2177536241685358</v>
      </c>
      <c r="W133" s="357">
        <f t="shared" ca="1" si="62"/>
        <v>23.291657205434962</v>
      </c>
      <c r="X133" s="343"/>
      <c r="Y133" s="367" t="str">
        <f t="shared" ref="Y133:Y196" ca="1" si="80">IF(AND(pos_z&lt;=0,K132&gt;0),"Impact balistique","") &amp; IF(AND(H134&lt;0,vit_z&gt;=0),"Apogée","") &amp; IF(AND(Poussee=0,Q132&gt;0),"Fin de propulsion","") &amp; IF(AND(L134&gt;L_rampe,pos_xz&lt;=L_rampe),"Sortie de rampe","")</f>
        <v/>
      </c>
      <c r="Z133" s="368" t="str">
        <f t="shared" ref="Z133:Z196" ca="1" si="81">IF(ABS(t-T_para)&lt;pas/2,"Para","")</f>
        <v/>
      </c>
      <c r="AA133" s="369" t="str">
        <f t="shared" ref="AA133:AA196" ca="1" si="82">IF(ABS(t-T_satellite)&lt;pas/2,"Satellite","")</f>
        <v/>
      </c>
      <c r="AB133" s="344"/>
      <c r="AC133" s="363" t="e">
        <f t="shared" ref="AC133:AC196" ca="1" si="83">IF(ABS(t-ROUND(t,0))&lt;0.001,t,NA())</f>
        <v>#N/A</v>
      </c>
      <c r="AD133" s="376" t="e">
        <f t="shared" ref="AD133:AD196" ca="1" si="84">IF(ABS(t-ROUND(t,0))&lt;0.001,pos_x,NA())</f>
        <v>#N/A</v>
      </c>
      <c r="AE133" s="377">
        <f t="shared" ca="1" si="63"/>
        <v>59.329567744932952</v>
      </c>
      <c r="AF133" s="344"/>
      <c r="AG133" s="359">
        <f t="shared" ref="AG133:AG196" ca="1" si="85">IF(AND(L132&lt;L_rampe,Poussee&lt;Poids*SIN(M132)),0,(-W132+Poussee)/m-Poids*SIN(M132)/m)</f>
        <v>63.384053978876807</v>
      </c>
      <c r="AH133" s="357">
        <f t="shared" ref="AH133:AH196" ca="1" si="86">IF(AND(L132&lt;L_rampe,Poussee&lt;Poids*SIN(M132)), g*SIN(M132), (-W132+Poussee)/m)</f>
        <v>72.984761395365098</v>
      </c>
    </row>
    <row r="134" spans="1:34" x14ac:dyDescent="0.25">
      <c r="A134" s="402">
        <f t="shared" ca="1" si="64"/>
        <v>0.01</v>
      </c>
      <c r="B134" s="357">
        <f t="shared" ca="1" si="65"/>
        <v>1.3000000000000009</v>
      </c>
      <c r="C134" s="342"/>
      <c r="D134" s="359">
        <f t="shared" ca="1" si="66"/>
        <v>14.973869138285696</v>
      </c>
      <c r="E134" s="360">
        <f t="shared" ca="1" si="67"/>
        <v>61.436958373934885</v>
      </c>
      <c r="F134" s="357">
        <f t="shared" ca="1" si="68"/>
        <v>63.235406310160705</v>
      </c>
      <c r="G134" s="359">
        <f t="shared" ca="1" si="69"/>
        <v>19.056302308200536</v>
      </c>
      <c r="H134" s="360">
        <f t="shared" ca="1" si="70"/>
        <v>90.573426829499269</v>
      </c>
      <c r="I134" s="357">
        <f t="shared" ca="1" si="71"/>
        <v>92.556406073810933</v>
      </c>
      <c r="J134" s="359">
        <f t="shared" ca="1" si="72"/>
        <v>11.911492271708493</v>
      </c>
      <c r="K134" s="360">
        <f t="shared" ca="1" si="73"/>
        <v>60.232230165309247</v>
      </c>
      <c r="L134" s="357">
        <f t="shared" ca="1" si="58"/>
        <v>61.398739391177735</v>
      </c>
      <c r="M134" s="359">
        <f t="shared" ca="1" si="74"/>
        <v>1.3634247238802566</v>
      </c>
      <c r="N134" s="357">
        <f t="shared" ca="1" si="75"/>
        <v>78.118482362128333</v>
      </c>
      <c r="O134" s="343"/>
      <c r="P134" s="363">
        <f t="shared" ca="1" si="76"/>
        <v>4</v>
      </c>
      <c r="Q134" s="357">
        <f t="shared" ca="1" si="77"/>
        <v>691.79999999999984</v>
      </c>
      <c r="R134" s="359">
        <f t="shared" ca="1" si="78"/>
        <v>0.34718218784766575</v>
      </c>
      <c r="S134" s="360">
        <f t="shared" ca="1" si="79"/>
        <v>9.1823687189377967</v>
      </c>
      <c r="T134" s="357">
        <f t="shared" ca="1" si="59"/>
        <v>90.079037132779789</v>
      </c>
      <c r="U134" s="364">
        <f t="shared" ca="1" si="60"/>
        <v>0</v>
      </c>
      <c r="V134" s="359">
        <f t="shared" ca="1" si="61"/>
        <v>1.217643706104105</v>
      </c>
      <c r="W134" s="357">
        <f t="shared" ca="1" si="62"/>
        <v>23.610914673993427</v>
      </c>
      <c r="X134" s="343"/>
      <c r="Y134" s="367" t="str">
        <f t="shared" ca="1" si="80"/>
        <v/>
      </c>
      <c r="Z134" s="368" t="str">
        <f t="shared" ca="1" si="81"/>
        <v/>
      </c>
      <c r="AA134" s="369" t="str">
        <f t="shared" ca="1" si="82"/>
        <v/>
      </c>
      <c r="AB134" s="344"/>
      <c r="AC134" s="363" t="e">
        <f t="shared" ca="1" si="83"/>
        <v>#N/A</v>
      </c>
      <c r="AD134" s="376" t="e">
        <f t="shared" ca="1" si="84"/>
        <v>#N/A</v>
      </c>
      <c r="AE134" s="377">
        <f t="shared" ca="1" si="63"/>
        <v>60.232230165309247</v>
      </c>
      <c r="AF134" s="344"/>
      <c r="AG134" s="359">
        <f t="shared" ca="1" si="85"/>
        <v>63.203208810748933</v>
      </c>
      <c r="AH134" s="357">
        <f t="shared" ca="1" si="86"/>
        <v>72.803474055210557</v>
      </c>
    </row>
    <row r="135" spans="1:34" x14ac:dyDescent="0.25">
      <c r="A135" s="402">
        <f t="shared" ca="1" si="64"/>
        <v>0.01</v>
      </c>
      <c r="B135" s="357">
        <f t="shared" ca="1" si="65"/>
        <v>1.3100000000000009</v>
      </c>
      <c r="C135" s="342"/>
      <c r="D135" s="359">
        <f t="shared" ca="1" si="66"/>
        <v>14.952006520212569</v>
      </c>
      <c r="E135" s="360">
        <f t="shared" ca="1" si="67"/>
        <v>61.255962672616235</v>
      </c>
      <c r="F135" s="357">
        <f t="shared" ca="1" si="68"/>
        <v>63.054384954017536</v>
      </c>
      <c r="G135" s="359">
        <f t="shared" ca="1" si="69"/>
        <v>19.205822373402661</v>
      </c>
      <c r="H135" s="360">
        <f t="shared" ca="1" si="70"/>
        <v>91.185986456225436</v>
      </c>
      <c r="I135" s="357">
        <f t="shared" ca="1" si="71"/>
        <v>93.186628542047941</v>
      </c>
      <c r="J135" s="359">
        <f t="shared" ca="1" si="72"/>
        <v>12.102802895116509</v>
      </c>
      <c r="K135" s="360">
        <f t="shared" ca="1" si="73"/>
        <v>61.141027231737873</v>
      </c>
      <c r="L135" s="357">
        <f t="shared" ca="1" si="58"/>
        <v>62.327386026289865</v>
      </c>
      <c r="M135" s="359">
        <f t="shared" ca="1" si="74"/>
        <v>1.3632079796414971</v>
      </c>
      <c r="N135" s="357">
        <f t="shared" ca="1" si="75"/>
        <v>78.106063832013632</v>
      </c>
      <c r="O135" s="343"/>
      <c r="P135" s="363">
        <f t="shared" ca="1" si="76"/>
        <v>4</v>
      </c>
      <c r="Q135" s="357">
        <f t="shared" ca="1" si="77"/>
        <v>690.19999999999982</v>
      </c>
      <c r="R135" s="359">
        <f t="shared" ca="1" si="78"/>
        <v>0.34637922239441876</v>
      </c>
      <c r="S135" s="360">
        <f t="shared" ca="1" si="79"/>
        <v>9.1789049267138534</v>
      </c>
      <c r="T135" s="357">
        <f t="shared" ca="1" si="59"/>
        <v>90.045057331062907</v>
      </c>
      <c r="U135" s="364">
        <f t="shared" ca="1" si="60"/>
        <v>0</v>
      </c>
      <c r="V135" s="359">
        <f t="shared" ca="1" si="61"/>
        <v>1.217533051010687</v>
      </c>
      <c r="W135" s="357">
        <f t="shared" ca="1" si="62"/>
        <v>23.931370806070525</v>
      </c>
      <c r="X135" s="343"/>
      <c r="Y135" s="367" t="str">
        <f t="shared" ca="1" si="80"/>
        <v/>
      </c>
      <c r="Z135" s="368" t="str">
        <f t="shared" ca="1" si="81"/>
        <v/>
      </c>
      <c r="AA135" s="369" t="str">
        <f t="shared" ca="1" si="82"/>
        <v/>
      </c>
      <c r="AB135" s="344"/>
      <c r="AC135" s="363" t="e">
        <f t="shared" ca="1" si="83"/>
        <v>#N/A</v>
      </c>
      <c r="AD135" s="376" t="e">
        <f t="shared" ca="1" si="84"/>
        <v>#N/A</v>
      </c>
      <c r="AE135" s="377">
        <f t="shared" ca="1" si="63"/>
        <v>61.141027231737873</v>
      </c>
      <c r="AF135" s="344"/>
      <c r="AG135" s="359">
        <f t="shared" ca="1" si="85"/>
        <v>63.022027937324893</v>
      </c>
      <c r="AH135" s="357">
        <f t="shared" ca="1" si="86"/>
        <v>72.6218531130001</v>
      </c>
    </row>
    <row r="136" spans="1:34" x14ac:dyDescent="0.25">
      <c r="A136" s="402">
        <f t="shared" ca="1" si="64"/>
        <v>0.01</v>
      </c>
      <c r="B136" s="357">
        <f t="shared" ca="1" si="65"/>
        <v>1.320000000000001</v>
      </c>
      <c r="C136" s="342"/>
      <c r="D136" s="359">
        <f t="shared" ca="1" si="66"/>
        <v>14.929908865209732</v>
      </c>
      <c r="E136" s="360">
        <f t="shared" ca="1" si="67"/>
        <v>61.074674506884861</v>
      </c>
      <c r="F136" s="357">
        <f t="shared" ca="1" si="68"/>
        <v>62.873031140906512</v>
      </c>
      <c r="G136" s="359">
        <f t="shared" ca="1" si="69"/>
        <v>19.355121462054758</v>
      </c>
      <c r="H136" s="360">
        <f t="shared" ca="1" si="70"/>
        <v>91.796733201294288</v>
      </c>
      <c r="I136" s="357">
        <f t="shared" ca="1" si="71"/>
        <v>93.815035859080169</v>
      </c>
      <c r="J136" s="359">
        <f t="shared" ca="1" si="72"/>
        <v>12.295607614293797</v>
      </c>
      <c r="K136" s="360">
        <f t="shared" ca="1" si="73"/>
        <v>62.05594083002547</v>
      </c>
      <c r="L136" s="357">
        <f t="shared" ca="1" si="58"/>
        <v>63.262324956519748</v>
      </c>
      <c r="M136" s="359">
        <f t="shared" ca="1" si="74"/>
        <v>1.3629924654515537</v>
      </c>
      <c r="N136" s="357">
        <f t="shared" ca="1" si="75"/>
        <v>78.093715778504702</v>
      </c>
      <c r="O136" s="343"/>
      <c r="P136" s="363">
        <f t="shared" ca="1" si="76"/>
        <v>4</v>
      </c>
      <c r="Q136" s="357">
        <f t="shared" ca="1" si="77"/>
        <v>688.5999999999998</v>
      </c>
      <c r="R136" s="359">
        <f t="shared" ca="1" si="78"/>
        <v>0.34557625694117178</v>
      </c>
      <c r="S136" s="360">
        <f t="shared" ca="1" si="79"/>
        <v>9.1754491641444424</v>
      </c>
      <c r="T136" s="357">
        <f t="shared" ca="1" si="59"/>
        <v>90.011156300256985</v>
      </c>
      <c r="U136" s="364">
        <f t="shared" ca="1" si="60"/>
        <v>0</v>
      </c>
      <c r="V136" s="359">
        <f t="shared" ca="1" si="61"/>
        <v>1.2174216612952347</v>
      </c>
      <c r="W136" s="357">
        <f t="shared" ca="1" si="62"/>
        <v>24.253004115259085</v>
      </c>
      <c r="X136" s="343"/>
      <c r="Y136" s="367" t="str">
        <f t="shared" ca="1" si="80"/>
        <v/>
      </c>
      <c r="Z136" s="368" t="str">
        <f t="shared" ca="1" si="81"/>
        <v/>
      </c>
      <c r="AA136" s="369" t="str">
        <f t="shared" ca="1" si="82"/>
        <v/>
      </c>
      <c r="AB136" s="344"/>
      <c r="AC136" s="363" t="e">
        <f t="shared" ca="1" si="83"/>
        <v>#N/A</v>
      </c>
      <c r="AD136" s="376" t="e">
        <f t="shared" ca="1" si="84"/>
        <v>#N/A</v>
      </c>
      <c r="AE136" s="377">
        <f t="shared" ca="1" si="63"/>
        <v>62.05594083002547</v>
      </c>
      <c r="AF136" s="344"/>
      <c r="AG136" s="359">
        <f t="shared" ca="1" si="85"/>
        <v>62.840513834848899</v>
      </c>
      <c r="AH136" s="357">
        <f t="shared" ca="1" si="86"/>
        <v>72.439901012290747</v>
      </c>
    </row>
    <row r="137" spans="1:34" x14ac:dyDescent="0.25">
      <c r="A137" s="402">
        <f t="shared" ca="1" si="64"/>
        <v>0.01</v>
      </c>
      <c r="B137" s="357">
        <f t="shared" ca="1" si="65"/>
        <v>1.330000000000001</v>
      </c>
      <c r="C137" s="342"/>
      <c r="D137" s="359">
        <f t="shared" ca="1" si="66"/>
        <v>14.907578542273651</v>
      </c>
      <c r="E137" s="360">
        <f t="shared" ca="1" si="67"/>
        <v>60.893095963788227</v>
      </c>
      <c r="F137" s="357">
        <f t="shared" ca="1" si="68"/>
        <v>62.691347361890216</v>
      </c>
      <c r="G137" s="359">
        <f t="shared" ca="1" si="69"/>
        <v>19.504197247477496</v>
      </c>
      <c r="H137" s="360">
        <f t="shared" ca="1" si="70"/>
        <v>92.405664160932176</v>
      </c>
      <c r="I137" s="357">
        <f t="shared" ca="1" si="71"/>
        <v>94.441624717555001</v>
      </c>
      <c r="J137" s="359">
        <f t="shared" ca="1" si="72"/>
        <v>12.489904207841459</v>
      </c>
      <c r="K137" s="360">
        <f t="shared" ca="1" si="73"/>
        <v>62.976952816836601</v>
      </c>
      <c r="L137" s="357">
        <f t="shared" ca="1" si="58"/>
        <v>64.203538011663497</v>
      </c>
      <c r="M137" s="359">
        <f t="shared" ca="1" si="74"/>
        <v>1.362778162075384</v>
      </c>
      <c r="N137" s="357">
        <f t="shared" ca="1" si="75"/>
        <v>78.081437099514773</v>
      </c>
      <c r="O137" s="343"/>
      <c r="P137" s="363">
        <f t="shared" ca="1" si="76"/>
        <v>4</v>
      </c>
      <c r="Q137" s="357">
        <f t="shared" ca="1" si="77"/>
        <v>686.99999999999977</v>
      </c>
      <c r="R137" s="359">
        <f t="shared" ca="1" si="78"/>
        <v>0.34477329148792474</v>
      </c>
      <c r="S137" s="360">
        <f t="shared" ca="1" si="79"/>
        <v>9.1720014312295639</v>
      </c>
      <c r="T137" s="357">
        <f t="shared" ca="1" si="59"/>
        <v>89.977334040362024</v>
      </c>
      <c r="U137" s="364">
        <f t="shared" ca="1" si="60"/>
        <v>0</v>
      </c>
      <c r="V137" s="359">
        <f t="shared" ca="1" si="61"/>
        <v>1.2173095393687534</v>
      </c>
      <c r="W137" s="357">
        <f t="shared" ca="1" si="62"/>
        <v>24.575793141919981</v>
      </c>
      <c r="X137" s="343"/>
      <c r="Y137" s="367" t="str">
        <f t="shared" ca="1" si="80"/>
        <v/>
      </c>
      <c r="Z137" s="368" t="str">
        <f t="shared" ca="1" si="81"/>
        <v/>
      </c>
      <c r="AA137" s="369" t="str">
        <f t="shared" ca="1" si="82"/>
        <v/>
      </c>
      <c r="AB137" s="344"/>
      <c r="AC137" s="363" t="e">
        <f t="shared" ca="1" si="83"/>
        <v>#N/A</v>
      </c>
      <c r="AD137" s="376" t="e">
        <f t="shared" ca="1" si="84"/>
        <v>#N/A</v>
      </c>
      <c r="AE137" s="377">
        <f t="shared" ca="1" si="63"/>
        <v>62.976952816836601</v>
      </c>
      <c r="AF137" s="344"/>
      <c r="AG137" s="359">
        <f t="shared" ca="1" si="85"/>
        <v>62.658668981477078</v>
      </c>
      <c r="AH137" s="357">
        <f t="shared" ca="1" si="86"/>
        <v>72.25762019924754</v>
      </c>
    </row>
    <row r="138" spans="1:34" x14ac:dyDescent="0.25">
      <c r="A138" s="402">
        <f t="shared" ca="1" si="64"/>
        <v>0.01</v>
      </c>
      <c r="B138" s="357">
        <f t="shared" ca="1" si="65"/>
        <v>1.340000000000001</v>
      </c>
      <c r="C138" s="342"/>
      <c r="D138" s="359">
        <f t="shared" ca="1" si="66"/>
        <v>14.885017880203707</v>
      </c>
      <c r="E138" s="360">
        <f t="shared" ca="1" si="67"/>
        <v>60.711229139305615</v>
      </c>
      <c r="F138" s="357">
        <f t="shared" ca="1" si="68"/>
        <v>62.509336109890462</v>
      </c>
      <c r="G138" s="359">
        <f t="shared" ca="1" si="69"/>
        <v>19.653047426279532</v>
      </c>
      <c r="H138" s="360">
        <f t="shared" ca="1" si="70"/>
        <v>93.012776452325227</v>
      </c>
      <c r="I138" s="357">
        <f t="shared" ca="1" si="71"/>
        <v>95.066391834916189</v>
      </c>
      <c r="J138" s="359">
        <f t="shared" ca="1" si="72"/>
        <v>12.685690431210244</v>
      </c>
      <c r="K138" s="360">
        <f t="shared" ca="1" si="73"/>
        <v>63.904045019902888</v>
      </c>
      <c r="L138" s="357">
        <f t="shared" ca="1" si="58"/>
        <v>65.151006988551401</v>
      </c>
      <c r="M138" s="359">
        <f t="shared" ca="1" si="74"/>
        <v>1.3625650507008285</v>
      </c>
      <c r="N138" s="357">
        <f t="shared" ca="1" si="75"/>
        <v>78.06922671718651</v>
      </c>
      <c r="O138" s="343"/>
      <c r="P138" s="363">
        <f t="shared" ca="1" si="76"/>
        <v>4</v>
      </c>
      <c r="Q138" s="357">
        <f t="shared" ca="1" si="77"/>
        <v>685.39999999999986</v>
      </c>
      <c r="R138" s="359">
        <f t="shared" ca="1" si="78"/>
        <v>0.34397032603467781</v>
      </c>
      <c r="S138" s="360">
        <f t="shared" ca="1" si="79"/>
        <v>9.1685617279692178</v>
      </c>
      <c r="T138" s="357">
        <f t="shared" ca="1" si="59"/>
        <v>89.943590551378037</v>
      </c>
      <c r="U138" s="364">
        <f t="shared" ca="1" si="60"/>
        <v>0</v>
      </c>
      <c r="V138" s="359">
        <f t="shared" ca="1" si="61"/>
        <v>1.2171966876462599</v>
      </c>
      <c r="W138" s="357">
        <f t="shared" ca="1" si="62"/>
        <v>24.89971645409511</v>
      </c>
      <c r="X138" s="343"/>
      <c r="Y138" s="367" t="str">
        <f t="shared" ca="1" si="80"/>
        <v/>
      </c>
      <c r="Z138" s="368" t="str">
        <f t="shared" ca="1" si="81"/>
        <v/>
      </c>
      <c r="AA138" s="369" t="str">
        <f t="shared" ca="1" si="82"/>
        <v/>
      </c>
      <c r="AB138" s="344"/>
      <c r="AC138" s="363" t="e">
        <f t="shared" ca="1" si="83"/>
        <v>#N/A</v>
      </c>
      <c r="AD138" s="376" t="e">
        <f t="shared" ca="1" si="84"/>
        <v>#N/A</v>
      </c>
      <c r="AE138" s="377">
        <f t="shared" ca="1" si="63"/>
        <v>63.904045019902888</v>
      </c>
      <c r="AF138" s="344"/>
      <c r="AG138" s="359">
        <f t="shared" ca="1" si="85"/>
        <v>62.47649585718132</v>
      </c>
      <c r="AH138" s="357">
        <f t="shared" ca="1" si="86"/>
        <v>72.075013122526954</v>
      </c>
    </row>
    <row r="139" spans="1:34" x14ac:dyDescent="0.25">
      <c r="A139" s="402">
        <f t="shared" ca="1" si="64"/>
        <v>0.01</v>
      </c>
      <c r="B139" s="357">
        <f t="shared" ca="1" si="65"/>
        <v>1.350000000000001</v>
      </c>
      <c r="C139" s="342"/>
      <c r="D139" s="359">
        <f t="shared" ca="1" si="66"/>
        <v>14.862229168808735</v>
      </c>
      <c r="E139" s="360">
        <f t="shared" ca="1" si="67"/>
        <v>60.529076138042385</v>
      </c>
      <c r="F139" s="357">
        <f t="shared" ca="1" si="68"/>
        <v>62.326999879595689</v>
      </c>
      <c r="G139" s="359">
        <f t="shared" ca="1" si="69"/>
        <v>19.80166971796762</v>
      </c>
      <c r="H139" s="360">
        <f t="shared" ca="1" si="70"/>
        <v>93.618067213705658</v>
      </c>
      <c r="I139" s="357">
        <f t="shared" ca="1" si="71"/>
        <v>95.689333953421297</v>
      </c>
      <c r="J139" s="359">
        <f t="shared" ca="1" si="72"/>
        <v>12.88296401693148</v>
      </c>
      <c r="K139" s="360">
        <f t="shared" ca="1" si="73"/>
        <v>64.83719923823304</v>
      </c>
      <c r="L139" s="357">
        <f t="shared" ca="1" si="58"/>
        <v>66.104713651296294</v>
      </c>
      <c r="M139" s="359">
        <f t="shared" ca="1" si="74"/>
        <v>1.362353112926048</v>
      </c>
      <c r="N139" s="357">
        <f t="shared" ca="1" si="75"/>
        <v>78.057083577172193</v>
      </c>
      <c r="O139" s="343"/>
      <c r="P139" s="363">
        <f t="shared" ca="1" si="76"/>
        <v>4</v>
      </c>
      <c r="Q139" s="357">
        <f t="shared" ca="1" si="77"/>
        <v>683.79999999999984</v>
      </c>
      <c r="R139" s="359">
        <f t="shared" ca="1" si="78"/>
        <v>0.34316736058143082</v>
      </c>
      <c r="S139" s="360">
        <f t="shared" ca="1" si="79"/>
        <v>9.165130054363404</v>
      </c>
      <c r="T139" s="357">
        <f t="shared" ca="1" si="59"/>
        <v>89.909925833304996</v>
      </c>
      <c r="U139" s="364">
        <f t="shared" ca="1" si="60"/>
        <v>0</v>
      </c>
      <c r="V139" s="359">
        <f t="shared" ca="1" si="61"/>
        <v>1.2170831085467415</v>
      </c>
      <c r="W139" s="357">
        <f t="shared" ca="1" si="62"/>
        <v>25.224752648415862</v>
      </c>
      <c r="X139" s="343"/>
      <c r="Y139" s="367" t="str">
        <f t="shared" ca="1" si="80"/>
        <v/>
      </c>
      <c r="Z139" s="368" t="str">
        <f t="shared" ca="1" si="81"/>
        <v/>
      </c>
      <c r="AA139" s="369" t="str">
        <f t="shared" ca="1" si="82"/>
        <v/>
      </c>
      <c r="AB139" s="344"/>
      <c r="AC139" s="363" t="e">
        <f t="shared" ca="1" si="83"/>
        <v>#N/A</v>
      </c>
      <c r="AD139" s="376" t="e">
        <f t="shared" ca="1" si="84"/>
        <v>#N/A</v>
      </c>
      <c r="AE139" s="377">
        <f t="shared" ca="1" si="63"/>
        <v>64.83719923823304</v>
      </c>
      <c r="AF139" s="344"/>
      <c r="AG139" s="359">
        <f t="shared" ca="1" si="85"/>
        <v>62.29399694365253</v>
      </c>
      <c r="AH139" s="357">
        <f t="shared" ca="1" si="86"/>
        <v>71.892082233160508</v>
      </c>
    </row>
    <row r="140" spans="1:34" x14ac:dyDescent="0.25">
      <c r="A140" s="402">
        <f t="shared" ca="1" si="64"/>
        <v>0.01</v>
      </c>
      <c r="B140" s="357">
        <f t="shared" ca="1" si="65"/>
        <v>1.360000000000001</v>
      </c>
      <c r="C140" s="342"/>
      <c r="D140" s="359">
        <f t="shared" ca="1" si="66"/>
        <v>14.839214660067938</v>
      </c>
      <c r="E140" s="360">
        <f t="shared" ca="1" si="67"/>
        <v>60.346639072931225</v>
      </c>
      <c r="F140" s="357">
        <f t="shared" ca="1" si="68"/>
        <v>62.144341167367806</v>
      </c>
      <c r="G140" s="359">
        <f t="shared" ca="1" si="69"/>
        <v>19.950061864568298</v>
      </c>
      <c r="H140" s="360">
        <f t="shared" ca="1" si="70"/>
        <v>94.221533604434967</v>
      </c>
      <c r="I140" s="357">
        <f t="shared" ca="1" si="71"/>
        <v>96.310447840157863</v>
      </c>
      <c r="J140" s="359">
        <f t="shared" ca="1" si="72"/>
        <v>13.081722674844158</v>
      </c>
      <c r="K140" s="360">
        <f t="shared" ca="1" si="73"/>
        <v>65.776397242323739</v>
      </c>
      <c r="L140" s="357">
        <f t="shared" ca="1" si="58"/>
        <v>67.064639731541874</v>
      </c>
      <c r="M140" s="359">
        <f t="shared" ca="1" si="74"/>
        <v>1.3621423307474285</v>
      </c>
      <c r="N140" s="357">
        <f t="shared" ca="1" si="75"/>
        <v>78.045006647940724</v>
      </c>
      <c r="O140" s="343"/>
      <c r="P140" s="363">
        <f t="shared" ca="1" si="76"/>
        <v>4</v>
      </c>
      <c r="Q140" s="357">
        <f t="shared" ca="1" si="77"/>
        <v>682.19999999999982</v>
      </c>
      <c r="R140" s="359">
        <f t="shared" ca="1" si="78"/>
        <v>0.34236439512818384</v>
      </c>
      <c r="S140" s="360">
        <f t="shared" ca="1" si="79"/>
        <v>9.1617064104121226</v>
      </c>
      <c r="T140" s="357">
        <f t="shared" ca="1" si="59"/>
        <v>89.876339886142929</v>
      </c>
      <c r="U140" s="364">
        <f t="shared" ca="1" si="60"/>
        <v>0</v>
      </c>
      <c r="V140" s="359">
        <f t="shared" ca="1" si="61"/>
        <v>1.2169688044931151</v>
      </c>
      <c r="W140" s="357">
        <f t="shared" ca="1" si="62"/>
        <v>25.550880351006651</v>
      </c>
      <c r="X140" s="343"/>
      <c r="Y140" s="367" t="str">
        <f t="shared" ca="1" si="80"/>
        <v/>
      </c>
      <c r="Z140" s="368" t="str">
        <f t="shared" ca="1" si="81"/>
        <v/>
      </c>
      <c r="AA140" s="369" t="str">
        <f t="shared" ca="1" si="82"/>
        <v/>
      </c>
      <c r="AB140" s="344"/>
      <c r="AC140" s="363" t="e">
        <f t="shared" ca="1" si="83"/>
        <v>#N/A</v>
      </c>
      <c r="AD140" s="376" t="e">
        <f t="shared" ca="1" si="84"/>
        <v>#N/A</v>
      </c>
      <c r="AE140" s="377">
        <f t="shared" ca="1" si="63"/>
        <v>65.776397242323739</v>
      </c>
      <c r="AF140" s="344"/>
      <c r="AG140" s="359">
        <f t="shared" ca="1" si="85"/>
        <v>62.111174724203408</v>
      </c>
      <c r="AH140" s="357">
        <f t="shared" ca="1" si="86"/>
        <v>71.708829984438566</v>
      </c>
    </row>
    <row r="141" spans="1:34" x14ac:dyDescent="0.25">
      <c r="A141" s="402">
        <f t="shared" ca="1" si="64"/>
        <v>0.01</v>
      </c>
      <c r="B141" s="357">
        <f t="shared" ca="1" si="65"/>
        <v>1.370000000000001</v>
      </c>
      <c r="C141" s="342"/>
      <c r="D141" s="359">
        <f t="shared" ca="1" si="66"/>
        <v>14.815976569247992</v>
      </c>
      <c r="E141" s="360">
        <f t="shared" ca="1" si="67"/>
        <v>60.163920064940541</v>
      </c>
      <c r="F141" s="357">
        <f t="shared" ca="1" si="68"/>
        <v>61.96136247114859</v>
      </c>
      <c r="G141" s="359">
        <f t="shared" ca="1" si="69"/>
        <v>20.098221630260777</v>
      </c>
      <c r="H141" s="360">
        <f t="shared" ca="1" si="70"/>
        <v>94.823172805084369</v>
      </c>
      <c r="I141" s="357">
        <f t="shared" ca="1" si="71"/>
        <v>96.929730287058845</v>
      </c>
      <c r="J141" s="359">
        <f t="shared" ca="1" si="72"/>
        <v>13.281964092318304</v>
      </c>
      <c r="K141" s="360">
        <f t="shared" ca="1" si="73"/>
        <v>66.721620774371331</v>
      </c>
      <c r="L141" s="357">
        <f t="shared" ca="1" si="58"/>
        <v>68.030766928711401</v>
      </c>
      <c r="M141" s="359">
        <f t="shared" ca="1" si="74"/>
        <v>1.361932686547928</v>
      </c>
      <c r="N141" s="357">
        <f t="shared" ca="1" si="75"/>
        <v>78.032994920109942</v>
      </c>
      <c r="O141" s="343"/>
      <c r="P141" s="363">
        <f t="shared" ca="1" si="76"/>
        <v>4</v>
      </c>
      <c r="Q141" s="357">
        <f t="shared" ca="1" si="77"/>
        <v>680.5999999999998</v>
      </c>
      <c r="R141" s="359">
        <f t="shared" ca="1" si="78"/>
        <v>0.34156142967493686</v>
      </c>
      <c r="S141" s="360">
        <f t="shared" ca="1" si="79"/>
        <v>9.1582907961153737</v>
      </c>
      <c r="T141" s="357">
        <f t="shared" ca="1" si="59"/>
        <v>89.842832709891823</v>
      </c>
      <c r="U141" s="364">
        <f t="shared" ca="1" si="60"/>
        <v>0</v>
      </c>
      <c r="V141" s="359">
        <f t="shared" ca="1" si="61"/>
        <v>1.2168537779121842</v>
      </c>
      <c r="W141" s="357">
        <f t="shared" ca="1" si="62"/>
        <v>25.878078218383745</v>
      </c>
      <c r="X141" s="343"/>
      <c r="Y141" s="367" t="str">
        <f t="shared" ca="1" si="80"/>
        <v/>
      </c>
      <c r="Z141" s="368" t="str">
        <f t="shared" ca="1" si="81"/>
        <v/>
      </c>
      <c r="AA141" s="369" t="str">
        <f t="shared" ca="1" si="82"/>
        <v/>
      </c>
      <c r="AB141" s="344"/>
      <c r="AC141" s="363" t="e">
        <f t="shared" ca="1" si="83"/>
        <v>#N/A</v>
      </c>
      <c r="AD141" s="376" t="e">
        <f t="shared" ca="1" si="84"/>
        <v>#N/A</v>
      </c>
      <c r="AE141" s="377">
        <f t="shared" ca="1" si="63"/>
        <v>66.721620774371331</v>
      </c>
      <c r="AF141" s="344"/>
      <c r="AG141" s="359">
        <f t="shared" ca="1" si="85"/>
        <v>61.928031683670852</v>
      </c>
      <c r="AH141" s="357">
        <f t="shared" ca="1" si="86"/>
        <v>71.525258831794474</v>
      </c>
    </row>
    <row r="142" spans="1:34" x14ac:dyDescent="0.25">
      <c r="A142" s="402">
        <f t="shared" ca="1" si="64"/>
        <v>0.01</v>
      </c>
      <c r="B142" s="357">
        <f t="shared" ca="1" si="65"/>
        <v>1.380000000000001</v>
      </c>
      <c r="C142" s="342"/>
      <c r="D142" s="359">
        <f t="shared" ca="1" si="66"/>
        <v>14.792517075978294</v>
      </c>
      <c r="E142" s="360">
        <f t="shared" ca="1" si="67"/>
        <v>59.980921242789151</v>
      </c>
      <c r="F142" s="357">
        <f t="shared" ca="1" si="68"/>
        <v>61.778066290365416</v>
      </c>
      <c r="G142" s="359">
        <f t="shared" ca="1" si="69"/>
        <v>20.246146801020561</v>
      </c>
      <c r="H142" s="360">
        <f t="shared" ca="1" si="70"/>
        <v>95.422982017512254</v>
      </c>
      <c r="I142" s="357">
        <f t="shared" ca="1" si="71"/>
        <v>97.547178110916889</v>
      </c>
      <c r="J142" s="359">
        <f t="shared" ca="1" si="72"/>
        <v>13.48368593447471</v>
      </c>
      <c r="K142" s="360">
        <f t="shared" ca="1" si="73"/>
        <v>67.672851548484317</v>
      </c>
      <c r="L142" s="357">
        <f t="shared" ca="1" si="58"/>
        <v>69.003076910256311</v>
      </c>
      <c r="M142" s="359">
        <f t="shared" ca="1" si="74"/>
        <v>1.361724163085849</v>
      </c>
      <c r="N142" s="357">
        <f t="shared" ca="1" si="75"/>
        <v>78.021047405803358</v>
      </c>
      <c r="O142" s="343"/>
      <c r="P142" s="363">
        <f t="shared" ca="1" si="76"/>
        <v>4</v>
      </c>
      <c r="Q142" s="357">
        <f t="shared" ca="1" si="77"/>
        <v>678.99999999999977</v>
      </c>
      <c r="R142" s="359">
        <f t="shared" ca="1" si="78"/>
        <v>0.34075846422168982</v>
      </c>
      <c r="S142" s="360">
        <f t="shared" ca="1" si="79"/>
        <v>9.1548832114731571</v>
      </c>
      <c r="T142" s="357">
        <f t="shared" ca="1" si="59"/>
        <v>89.809404304551677</v>
      </c>
      <c r="U142" s="364">
        <f t="shared" ca="1" si="60"/>
        <v>0</v>
      </c>
      <c r="V142" s="359">
        <f t="shared" ca="1" si="61"/>
        <v>1.2167380312345988</v>
      </c>
      <c r="W142" s="357">
        <f t="shared" ca="1" si="62"/>
        <v>26.206324938349187</v>
      </c>
      <c r="X142" s="343"/>
      <c r="Y142" s="367" t="str">
        <f t="shared" ca="1" si="80"/>
        <v/>
      </c>
      <c r="Z142" s="368" t="str">
        <f t="shared" ca="1" si="81"/>
        <v/>
      </c>
      <c r="AA142" s="369" t="str">
        <f t="shared" ca="1" si="82"/>
        <v/>
      </c>
      <c r="AB142" s="344"/>
      <c r="AC142" s="363" t="e">
        <f t="shared" ca="1" si="83"/>
        <v>#N/A</v>
      </c>
      <c r="AD142" s="376" t="e">
        <f t="shared" ca="1" si="84"/>
        <v>#N/A</v>
      </c>
      <c r="AE142" s="377">
        <f t="shared" ca="1" si="63"/>
        <v>67.672851548484317</v>
      </c>
      <c r="AF142" s="344"/>
      <c r="AG142" s="359">
        <f t="shared" ca="1" si="85"/>
        <v>61.744570308317734</v>
      </c>
      <c r="AH142" s="357">
        <f t="shared" ca="1" si="86"/>
        <v>71.341371232688729</v>
      </c>
    </row>
    <row r="143" spans="1:34" x14ac:dyDescent="0.25">
      <c r="A143" s="402">
        <f t="shared" ca="1" si="64"/>
        <v>0.01</v>
      </c>
      <c r="B143" s="357">
        <f t="shared" ca="1" si="65"/>
        <v>1.390000000000001</v>
      </c>
      <c r="C143" s="342"/>
      <c r="D143" s="359">
        <f t="shared" ca="1" si="66"/>
        <v>14.768838325286259</v>
      </c>
      <c r="E143" s="360">
        <f t="shared" ca="1" si="67"/>
        <v>59.797644742667657</v>
      </c>
      <c r="F143" s="357">
        <f t="shared" ca="1" si="68"/>
        <v>61.59445512583688</v>
      </c>
      <c r="G143" s="359">
        <f t="shared" ca="1" si="69"/>
        <v>20.393835184273424</v>
      </c>
      <c r="H143" s="360">
        <f t="shared" ca="1" si="70"/>
        <v>96.020958464938929</v>
      </c>
      <c r="I143" s="357">
        <f t="shared" ca="1" si="71"/>
        <v>98.162788153397699</v>
      </c>
      <c r="J143" s="359">
        <f t="shared" ca="1" si="72"/>
        <v>13.68688584440118</v>
      </c>
      <c r="K143" s="360">
        <f t="shared" ca="1" si="73"/>
        <v>68.630071250896577</v>
      </c>
      <c r="L143" s="357">
        <f t="shared" ca="1" si="58"/>
        <v>69.981551311905136</v>
      </c>
      <c r="M143" s="359">
        <f t="shared" ca="1" si="74"/>
        <v>1.3615167434840172</v>
      </c>
      <c r="N143" s="357">
        <f t="shared" ca="1" si="75"/>
        <v>78.009163138030118</v>
      </c>
      <c r="O143" s="343"/>
      <c r="P143" s="363">
        <f t="shared" ca="1" si="76"/>
        <v>4</v>
      </c>
      <c r="Q143" s="357">
        <f t="shared" ca="1" si="77"/>
        <v>677.39999999999986</v>
      </c>
      <c r="R143" s="359">
        <f t="shared" ca="1" si="78"/>
        <v>0.33995549876844289</v>
      </c>
      <c r="S143" s="360">
        <f t="shared" ca="1" si="79"/>
        <v>9.1514836564854729</v>
      </c>
      <c r="T143" s="357">
        <f t="shared" ca="1" si="59"/>
        <v>89.776054670122491</v>
      </c>
      <c r="U143" s="364">
        <f t="shared" ca="1" si="60"/>
        <v>0</v>
      </c>
      <c r="V143" s="359">
        <f t="shared" ca="1" si="61"/>
        <v>1.2166215668948142</v>
      </c>
      <c r="W143" s="357">
        <f t="shared" ca="1" si="62"/>
        <v>26.535599230879793</v>
      </c>
      <c r="X143" s="343"/>
      <c r="Y143" s="367" t="str">
        <f t="shared" ca="1" si="80"/>
        <v/>
      </c>
      <c r="Z143" s="368" t="str">
        <f t="shared" ca="1" si="81"/>
        <v/>
      </c>
      <c r="AA143" s="369" t="str">
        <f t="shared" ca="1" si="82"/>
        <v/>
      </c>
      <c r="AB143" s="344"/>
      <c r="AC143" s="363" t="e">
        <f t="shared" ca="1" si="83"/>
        <v>#N/A</v>
      </c>
      <c r="AD143" s="376" t="e">
        <f t="shared" ca="1" si="84"/>
        <v>#N/A</v>
      </c>
      <c r="AE143" s="377">
        <f t="shared" ca="1" si="63"/>
        <v>68.630071250896577</v>
      </c>
      <c r="AF143" s="344"/>
      <c r="AG143" s="359">
        <f t="shared" ca="1" si="85"/>
        <v>61.560793085734538</v>
      </c>
      <c r="AH143" s="357">
        <f t="shared" ca="1" si="86"/>
        <v>71.157169646493628</v>
      </c>
    </row>
    <row r="144" spans="1:34" x14ac:dyDescent="0.25">
      <c r="A144" s="402">
        <f t="shared" ca="1" si="64"/>
        <v>0.01</v>
      </c>
      <c r="B144" s="357">
        <f t="shared" ca="1" si="65"/>
        <v>1.400000000000001</v>
      </c>
      <c r="C144" s="342"/>
      <c r="D144" s="359">
        <f t="shared" ca="1" si="66"/>
        <v>14.744942428594348</v>
      </c>
      <c r="E144" s="360">
        <f t="shared" ca="1" si="67"/>
        <v>59.61409270796581</v>
      </c>
      <c r="F144" s="357">
        <f t="shared" ca="1" si="68"/>
        <v>61.41053147967785</v>
      </c>
      <c r="G144" s="359">
        <f t="shared" ca="1" si="69"/>
        <v>20.541284608559369</v>
      </c>
      <c r="H144" s="360">
        <f t="shared" ca="1" si="70"/>
        <v>96.617099392018588</v>
      </c>
      <c r="I144" s="357">
        <f t="shared" ca="1" si="71"/>
        <v>98.776557281052447</v>
      </c>
      <c r="J144" s="359">
        <f t="shared" ca="1" si="72"/>
        <v>13.891561443365344</v>
      </c>
      <c r="K144" s="360">
        <f t="shared" ca="1" si="73"/>
        <v>69.593261540181359</v>
      </c>
      <c r="L144" s="357">
        <f t="shared" ca="1" si="58"/>
        <v>70.966171737912433</v>
      </c>
      <c r="M144" s="359">
        <f t="shared" ca="1" si="74"/>
        <v>1.3613104112193484</v>
      </c>
      <c r="N144" s="357">
        <f t="shared" ca="1" si="75"/>
        <v>77.997341170087211</v>
      </c>
      <c r="O144" s="343"/>
      <c r="P144" s="363">
        <f t="shared" ca="1" si="76"/>
        <v>4</v>
      </c>
      <c r="Q144" s="357">
        <f t="shared" ca="1" si="77"/>
        <v>675.79999999999984</v>
      </c>
      <c r="R144" s="359">
        <f t="shared" ca="1" si="78"/>
        <v>0.3391525333151959</v>
      </c>
      <c r="S144" s="360">
        <f t="shared" ca="1" si="79"/>
        <v>9.1480921311523211</v>
      </c>
      <c r="T144" s="357">
        <f t="shared" ca="1" si="59"/>
        <v>89.74278380660428</v>
      </c>
      <c r="U144" s="364">
        <f t="shared" ca="1" si="60"/>
        <v>0</v>
      </c>
      <c r="V144" s="359">
        <f t="shared" ca="1" si="61"/>
        <v>1.2165043873310488</v>
      </c>
      <c r="W144" s="357">
        <f t="shared" ca="1" si="62"/>
        <v>26.865879849011247</v>
      </c>
      <c r="X144" s="343"/>
      <c r="Y144" s="367" t="str">
        <f t="shared" ca="1" si="80"/>
        <v/>
      </c>
      <c r="Z144" s="368" t="str">
        <f t="shared" ca="1" si="81"/>
        <v/>
      </c>
      <c r="AA144" s="369" t="str">
        <f t="shared" ca="1" si="82"/>
        <v/>
      </c>
      <c r="AB144" s="344"/>
      <c r="AC144" s="363" t="e">
        <f t="shared" ca="1" si="83"/>
        <v>#N/A</v>
      </c>
      <c r="AD144" s="376" t="e">
        <f t="shared" ca="1" si="84"/>
        <v>#N/A</v>
      </c>
      <c r="AE144" s="377">
        <f t="shared" ca="1" si="63"/>
        <v>69.593261540181359</v>
      </c>
      <c r="AF144" s="344"/>
      <c r="AG144" s="359">
        <f t="shared" ca="1" si="85"/>
        <v>61.376702504740507</v>
      </c>
      <c r="AH144" s="357">
        <f t="shared" ca="1" si="86"/>
        <v>70.972656534378032</v>
      </c>
    </row>
    <row r="145" spans="1:34" x14ac:dyDescent="0.25">
      <c r="A145" s="402">
        <f t="shared" ca="1" si="64"/>
        <v>0.01</v>
      </c>
      <c r="B145" s="357">
        <f t="shared" ca="1" si="65"/>
        <v>1.410000000000001</v>
      </c>
      <c r="C145" s="342"/>
      <c r="D145" s="359">
        <f t="shared" ca="1" si="66"/>
        <v>14.720831464680453</v>
      </c>
      <c r="E145" s="360">
        <f t="shared" ca="1" si="67"/>
        <v>59.430267289005556</v>
      </c>
      <c r="F145" s="357">
        <f t="shared" ca="1" si="68"/>
        <v>61.226297855204095</v>
      </c>
      <c r="G145" s="359">
        <f t="shared" ca="1" si="69"/>
        <v>20.688492923206173</v>
      </c>
      <c r="H145" s="360">
        <f t="shared" ca="1" si="70"/>
        <v>97.21140206490864</v>
      </c>
      <c r="I145" s="357">
        <f t="shared" ca="1" si="71"/>
        <v>99.388482385329112</v>
      </c>
      <c r="J145" s="359">
        <f t="shared" ca="1" si="72"/>
        <v>14.097710331024171</v>
      </c>
      <c r="K145" s="360">
        <f t="shared" ca="1" si="73"/>
        <v>70.562404047465989</v>
      </c>
      <c r="L145" s="357">
        <f t="shared" ca="1" si="58"/>
        <v>71.956919761307944</v>
      </c>
      <c r="M145" s="359">
        <f t="shared" ca="1" si="74"/>
        <v>1.3611051501127862</v>
      </c>
      <c r="N145" s="357">
        <f t="shared" ca="1" si="75"/>
        <v>77.985580574983018</v>
      </c>
      <c r="O145" s="343"/>
      <c r="P145" s="363">
        <f t="shared" ca="1" si="76"/>
        <v>4</v>
      </c>
      <c r="Q145" s="357">
        <f t="shared" ca="1" si="77"/>
        <v>674.19999999999982</v>
      </c>
      <c r="R145" s="359">
        <f t="shared" ca="1" si="78"/>
        <v>0.33834956786194892</v>
      </c>
      <c r="S145" s="360">
        <f t="shared" ca="1" si="79"/>
        <v>9.1447086354737017</v>
      </c>
      <c r="T145" s="357">
        <f t="shared" ca="1" si="59"/>
        <v>89.709591713997014</v>
      </c>
      <c r="U145" s="364">
        <f t="shared" ca="1" si="60"/>
        <v>0</v>
      </c>
      <c r="V145" s="359">
        <f t="shared" ca="1" si="61"/>
        <v>1.2163864949852414</v>
      </c>
      <c r="W145" s="357">
        <f t="shared" ca="1" si="62"/>
        <v>27.197145579717024</v>
      </c>
      <c r="X145" s="343"/>
      <c r="Y145" s="367" t="str">
        <f t="shared" ca="1" si="80"/>
        <v/>
      </c>
      <c r="Z145" s="368" t="str">
        <f t="shared" ca="1" si="81"/>
        <v/>
      </c>
      <c r="AA145" s="369" t="str">
        <f t="shared" ca="1" si="82"/>
        <v/>
      </c>
      <c r="AB145" s="344"/>
      <c r="AC145" s="363" t="e">
        <f t="shared" ca="1" si="83"/>
        <v>#N/A</v>
      </c>
      <c r="AD145" s="376" t="e">
        <f t="shared" ca="1" si="84"/>
        <v>#N/A</v>
      </c>
      <c r="AE145" s="377">
        <f t="shared" ca="1" si="63"/>
        <v>70.562404047465989</v>
      </c>
      <c r="AF145" s="344"/>
      <c r="AG145" s="359">
        <f t="shared" ca="1" si="85"/>
        <v>61.192301055284517</v>
      </c>
      <c r="AH145" s="357">
        <f t="shared" ca="1" si="86"/>
        <v>70.787834359192388</v>
      </c>
    </row>
    <row r="146" spans="1:34" x14ac:dyDescent="0.25">
      <c r="A146" s="402">
        <f t="shared" ca="1" si="64"/>
        <v>0.01</v>
      </c>
      <c r="B146" s="357">
        <f t="shared" ca="1" si="65"/>
        <v>1.420000000000001</v>
      </c>
      <c r="C146" s="342"/>
      <c r="D146" s="359">
        <f t="shared" ca="1" si="66"/>
        <v>14.696507480603385</v>
      </c>
      <c r="E146" s="360">
        <f t="shared" ca="1" si="67"/>
        <v>59.246170642780044</v>
      </c>
      <c r="F146" s="357">
        <f t="shared" ca="1" si="68"/>
        <v>61.041756756836904</v>
      </c>
      <c r="G146" s="359">
        <f t="shared" ca="1" si="69"/>
        <v>20.835457998012206</v>
      </c>
      <c r="H146" s="360">
        <f t="shared" ca="1" si="70"/>
        <v>97.803863771336438</v>
      </c>
      <c r="I146" s="357">
        <f t="shared" ca="1" si="71"/>
        <v>99.998560382582838</v>
      </c>
      <c r="J146" s="359">
        <f t="shared" ca="1" si="72"/>
        <v>14.305330085630263</v>
      </c>
      <c r="K146" s="360">
        <f t="shared" ca="1" si="73"/>
        <v>71.53748037664721</v>
      </c>
      <c r="L146" s="357">
        <f t="shared" ca="1" si="58"/>
        <v>72.953776924145771</v>
      </c>
      <c r="M146" s="359">
        <f t="shared" ca="1" si="74"/>
        <v>1.3609009443195987</v>
      </c>
      <c r="N146" s="357">
        <f t="shared" ca="1" si="75"/>
        <v>77.973880444881246</v>
      </c>
      <c r="O146" s="343"/>
      <c r="P146" s="363">
        <f t="shared" ca="1" si="76"/>
        <v>4</v>
      </c>
      <c r="Q146" s="357">
        <f t="shared" ca="1" si="77"/>
        <v>672.5999999999998</v>
      </c>
      <c r="R146" s="359">
        <f t="shared" ca="1" si="78"/>
        <v>0.33754660240870188</v>
      </c>
      <c r="S146" s="360">
        <f t="shared" ca="1" si="79"/>
        <v>9.1413331694496147</v>
      </c>
      <c r="T146" s="357">
        <f t="shared" ca="1" si="59"/>
        <v>89.676478392300723</v>
      </c>
      <c r="U146" s="364">
        <f t="shared" ca="1" si="60"/>
        <v>0</v>
      </c>
      <c r="V146" s="359">
        <f t="shared" ca="1" si="61"/>
        <v>1.2162678923030119</v>
      </c>
      <c r="W146" s="357">
        <f t="shared" ca="1" si="62"/>
        <v>27.529375244782386</v>
      </c>
      <c r="X146" s="343"/>
      <c r="Y146" s="367" t="str">
        <f t="shared" ca="1" si="80"/>
        <v/>
      </c>
      <c r="Z146" s="368" t="str">
        <f t="shared" ca="1" si="81"/>
        <v/>
      </c>
      <c r="AA146" s="369" t="str">
        <f t="shared" ca="1" si="82"/>
        <v/>
      </c>
      <c r="AB146" s="344"/>
      <c r="AC146" s="363" t="e">
        <f t="shared" ca="1" si="83"/>
        <v>#N/A</v>
      </c>
      <c r="AD146" s="376" t="e">
        <f t="shared" ca="1" si="84"/>
        <v>#N/A</v>
      </c>
      <c r="AE146" s="377">
        <f t="shared" ca="1" si="63"/>
        <v>71.53748037664721</v>
      </c>
      <c r="AF146" s="344"/>
      <c r="AG146" s="359">
        <f t="shared" ca="1" si="85"/>
        <v>61.007591228345618</v>
      </c>
      <c r="AH146" s="357">
        <f t="shared" ca="1" si="86"/>
        <v>70.602705585354073</v>
      </c>
    </row>
    <row r="147" spans="1:34" x14ac:dyDescent="0.25">
      <c r="A147" s="402">
        <f t="shared" ca="1" si="64"/>
        <v>0.01</v>
      </c>
      <c r="B147" s="357">
        <f t="shared" ca="1" si="65"/>
        <v>1.430000000000001</v>
      </c>
      <c r="C147" s="342"/>
      <c r="D147" s="359">
        <f t="shared" ca="1" si="66"/>
        <v>14.671972492594591</v>
      </c>
      <c r="E147" s="360">
        <f t="shared" ca="1" si="67"/>
        <v>59.06180493269791</v>
      </c>
      <c r="F147" s="357">
        <f t="shared" ca="1" si="68"/>
        <v>60.85691069000719</v>
      </c>
      <c r="G147" s="359">
        <f t="shared" ca="1" si="69"/>
        <v>20.98217772293815</v>
      </c>
      <c r="H147" s="360">
        <f t="shared" ca="1" si="70"/>
        <v>98.394481820663415</v>
      </c>
      <c r="I147" s="357">
        <f t="shared" ca="1" si="71"/>
        <v>100.60678821408536</v>
      </c>
      <c r="J147" s="359">
        <f t="shared" ca="1" si="72"/>
        <v>14.514418264235015</v>
      </c>
      <c r="K147" s="360">
        <f t="shared" ca="1" si="73"/>
        <v>72.518472104607213</v>
      </c>
      <c r="L147" s="357">
        <f t="shared" ca="1" si="58"/>
        <v>73.956724737753589</v>
      </c>
      <c r="M147" s="359">
        <f t="shared" ca="1" si="74"/>
        <v>1.360697778320012</v>
      </c>
      <c r="N147" s="357">
        <f t="shared" ca="1" si="75"/>
        <v>77.962239890564376</v>
      </c>
      <c r="O147" s="343"/>
      <c r="P147" s="363">
        <f t="shared" ca="1" si="76"/>
        <v>4</v>
      </c>
      <c r="Q147" s="357">
        <f t="shared" ca="1" si="77"/>
        <v>670.99999999999977</v>
      </c>
      <c r="R147" s="359">
        <f t="shared" ca="1" si="78"/>
        <v>0.33674363695545489</v>
      </c>
      <c r="S147" s="360">
        <f t="shared" ca="1" si="79"/>
        <v>9.1379657330800601</v>
      </c>
      <c r="T147" s="357">
        <f t="shared" ca="1" si="59"/>
        <v>89.643443841515392</v>
      </c>
      <c r="U147" s="364">
        <f t="shared" ca="1" si="60"/>
        <v>0</v>
      </c>
      <c r="V147" s="359">
        <f t="shared" ca="1" si="61"/>
        <v>1.2161485817336177</v>
      </c>
      <c r="W147" s="357">
        <f t="shared" ca="1" si="62"/>
        <v>27.862547701673229</v>
      </c>
      <c r="X147" s="343"/>
      <c r="Y147" s="367" t="str">
        <f t="shared" ca="1" si="80"/>
        <v/>
      </c>
      <c r="Z147" s="368" t="str">
        <f t="shared" ca="1" si="81"/>
        <v/>
      </c>
      <c r="AA147" s="369" t="str">
        <f t="shared" ca="1" si="82"/>
        <v/>
      </c>
      <c r="AB147" s="344"/>
      <c r="AC147" s="363" t="e">
        <f t="shared" ca="1" si="83"/>
        <v>#N/A</v>
      </c>
      <c r="AD147" s="376" t="e">
        <f t="shared" ca="1" si="84"/>
        <v>#N/A</v>
      </c>
      <c r="AE147" s="377">
        <f t="shared" ca="1" si="63"/>
        <v>72.518472104607213</v>
      </c>
      <c r="AF147" s="344"/>
      <c r="AG147" s="359">
        <f t="shared" ca="1" si="85"/>
        <v>60.822575515833471</v>
      </c>
      <c r="AH147" s="357">
        <f t="shared" ca="1" si="86"/>
        <v>70.417272678733056</v>
      </c>
    </row>
    <row r="148" spans="1:34" x14ac:dyDescent="0.25">
      <c r="A148" s="402">
        <f t="shared" ca="1" si="64"/>
        <v>0.01</v>
      </c>
      <c r="B148" s="357">
        <f t="shared" ca="1" si="65"/>
        <v>1.4400000000000011</v>
      </c>
      <c r="C148" s="342"/>
      <c r="D148" s="359">
        <f t="shared" ca="1" si="66"/>
        <v>14.647228486918003</v>
      </c>
      <c r="E148" s="360">
        <f t="shared" ca="1" si="67"/>
        <v>58.877172328332719</v>
      </c>
      <c r="F148" s="357">
        <f t="shared" ca="1" si="68"/>
        <v>60.67176216105949</v>
      </c>
      <c r="G148" s="359">
        <f t="shared" ca="1" si="69"/>
        <v>21.12865000780733</v>
      </c>
      <c r="H148" s="360">
        <f t="shared" ca="1" si="70"/>
        <v>98.983253543946745</v>
      </c>
      <c r="I148" s="357">
        <f t="shared" ca="1" si="71"/>
        <v>101.21316284603333</v>
      </c>
      <c r="J148" s="359">
        <f t="shared" ca="1" si="72"/>
        <v>14.724972402888742</v>
      </c>
      <c r="K148" s="360">
        <f t="shared" ca="1" si="73"/>
        <v>73.505360781430269</v>
      </c>
      <c r="L148" s="357">
        <f t="shared" ca="1" si="58"/>
        <v>74.96574468298212</v>
      </c>
      <c r="M148" s="359">
        <f t="shared" ca="1" si="74"/>
        <v>1.3604956369101742</v>
      </c>
      <c r="N148" s="357">
        <f t="shared" ca="1" si="75"/>
        <v>77.95065804091584</v>
      </c>
      <c r="O148" s="343"/>
      <c r="P148" s="363">
        <f t="shared" ca="1" si="76"/>
        <v>4</v>
      </c>
      <c r="Q148" s="357">
        <f t="shared" ca="1" si="77"/>
        <v>669.39999999999986</v>
      </c>
      <c r="R148" s="359">
        <f t="shared" ca="1" si="78"/>
        <v>0.33594067150220797</v>
      </c>
      <c r="S148" s="360">
        <f t="shared" ca="1" si="79"/>
        <v>9.1346063263650379</v>
      </c>
      <c r="T148" s="357">
        <f t="shared" ca="1" si="59"/>
        <v>89.610488061641021</v>
      </c>
      <c r="U148" s="364">
        <f t="shared" ca="1" si="60"/>
        <v>0</v>
      </c>
      <c r="V148" s="359">
        <f t="shared" ca="1" si="61"/>
        <v>1.2160285657299124</v>
      </c>
      <c r="W148" s="357">
        <f t="shared" ca="1" si="62"/>
        <v>28.19664184439964</v>
      </c>
      <c r="X148" s="343"/>
      <c r="Y148" s="367" t="str">
        <f t="shared" ca="1" si="80"/>
        <v/>
      </c>
      <c r="Z148" s="368" t="str">
        <f t="shared" ca="1" si="81"/>
        <v/>
      </c>
      <c r="AA148" s="369" t="str">
        <f t="shared" ca="1" si="82"/>
        <v/>
      </c>
      <c r="AB148" s="344"/>
      <c r="AC148" s="363" t="e">
        <f t="shared" ca="1" si="83"/>
        <v>#N/A</v>
      </c>
      <c r="AD148" s="376" t="e">
        <f t="shared" ca="1" si="84"/>
        <v>#N/A</v>
      </c>
      <c r="AE148" s="377">
        <f t="shared" ca="1" si="63"/>
        <v>73.505360781430269</v>
      </c>
      <c r="AF148" s="344"/>
      <c r="AG148" s="359">
        <f t="shared" ca="1" si="85"/>
        <v>60.637256410488405</v>
      </c>
      <c r="AH148" s="357">
        <f t="shared" ca="1" si="86"/>
        <v>70.231538106537712</v>
      </c>
    </row>
    <row r="149" spans="1:34" x14ac:dyDescent="0.25">
      <c r="A149" s="402">
        <f t="shared" ca="1" si="64"/>
        <v>0.01</v>
      </c>
      <c r="B149" s="357">
        <f t="shared" ca="1" si="65"/>
        <v>1.4500000000000011</v>
      </c>
      <c r="C149" s="342"/>
      <c r="D149" s="359">
        <f t="shared" ca="1" si="66"/>
        <v>14.622277420698868</v>
      </c>
      <c r="E149" s="360">
        <f t="shared" ca="1" si="67"/>
        <v>58.692275005177521</v>
      </c>
      <c r="F149" s="357">
        <f t="shared" ca="1" si="68"/>
        <v>60.486313677155643</v>
      </c>
      <c r="G149" s="359">
        <f t="shared" ca="1" si="69"/>
        <v>21.27487278201432</v>
      </c>
      <c r="H149" s="360">
        <f t="shared" ca="1" si="70"/>
        <v>99.570176293998514</v>
      </c>
      <c r="I149" s="357">
        <f t="shared" ca="1" si="71"/>
        <v>101.81768126955572</v>
      </c>
      <c r="J149" s="359">
        <f t="shared" ca="1" si="72"/>
        <v>14.93699001683785</v>
      </c>
      <c r="K149" s="360">
        <f t="shared" ca="1" si="73"/>
        <v>74.498127930620001</v>
      </c>
      <c r="L149" s="357">
        <f t="shared" ca="1" si="58"/>
        <v>75.98081821045453</v>
      </c>
      <c r="M149" s="359">
        <f t="shared" ca="1" si="74"/>
        <v>1.360294505193429</v>
      </c>
      <c r="N149" s="357">
        <f t="shared" ca="1" si="75"/>
        <v>77.939134042420122</v>
      </c>
      <c r="O149" s="343"/>
      <c r="P149" s="363">
        <f t="shared" ca="1" si="76"/>
        <v>4</v>
      </c>
      <c r="Q149" s="357">
        <f t="shared" ca="1" si="77"/>
        <v>667.79999999999984</v>
      </c>
      <c r="R149" s="359">
        <f t="shared" ca="1" si="78"/>
        <v>0.33513770604896098</v>
      </c>
      <c r="S149" s="360">
        <f t="shared" ca="1" si="79"/>
        <v>9.1312549493045481</v>
      </c>
      <c r="T149" s="357">
        <f t="shared" ca="1" si="59"/>
        <v>89.577611052677625</v>
      </c>
      <c r="U149" s="364">
        <f t="shared" ca="1" si="60"/>
        <v>0</v>
      </c>
      <c r="V149" s="359">
        <f t="shared" ca="1" si="61"/>
        <v>1.2159078467483047</v>
      </c>
      <c r="W149" s="357">
        <f t="shared" ca="1" si="62"/>
        <v>28.531636604374427</v>
      </c>
      <c r="X149" s="343"/>
      <c r="Y149" s="367" t="str">
        <f t="shared" ca="1" si="80"/>
        <v/>
      </c>
      <c r="Z149" s="368" t="str">
        <f t="shared" ca="1" si="81"/>
        <v/>
      </c>
      <c r="AA149" s="369" t="str">
        <f t="shared" ca="1" si="82"/>
        <v/>
      </c>
      <c r="AB149" s="344"/>
      <c r="AC149" s="363" t="e">
        <f t="shared" ca="1" si="83"/>
        <v>#N/A</v>
      </c>
      <c r="AD149" s="376" t="e">
        <f t="shared" ca="1" si="84"/>
        <v>#N/A</v>
      </c>
      <c r="AE149" s="377">
        <f t="shared" ca="1" si="63"/>
        <v>74.498127930620001</v>
      </c>
      <c r="AF149" s="344"/>
      <c r="AG149" s="359">
        <f t="shared" ca="1" si="85"/>
        <v>60.45163640578135</v>
      </c>
      <c r="AH149" s="357">
        <f t="shared" ca="1" si="86"/>
        <v>70.045504337201038</v>
      </c>
    </row>
    <row r="150" spans="1:34" x14ac:dyDescent="0.25">
      <c r="A150" s="402">
        <f t="shared" ca="1" si="64"/>
        <v>0.01</v>
      </c>
      <c r="B150" s="357">
        <f t="shared" ca="1" si="65"/>
        <v>1.4600000000000011</v>
      </c>
      <c r="C150" s="342"/>
      <c r="D150" s="359">
        <f t="shared" ca="1" si="66"/>
        <v>14.597121222723288</v>
      </c>
      <c r="E150" s="360">
        <f t="shared" ca="1" si="67"/>
        <v>58.507115144404281</v>
      </c>
      <c r="F150" s="357">
        <f t="shared" ca="1" si="68"/>
        <v>60.300567746178473</v>
      </c>
      <c r="G150" s="359">
        <f t="shared" ca="1" si="69"/>
        <v>21.420843994241554</v>
      </c>
      <c r="H150" s="360">
        <f t="shared" ca="1" si="70"/>
        <v>100.15524744544255</v>
      </c>
      <c r="I150" s="357">
        <f t="shared" ca="1" si="71"/>
        <v>102.42034050072019</v>
      </c>
      <c r="J150" s="359">
        <f t="shared" ca="1" si="72"/>
        <v>15.15046860071913</v>
      </c>
      <c r="K150" s="360">
        <f t="shared" ca="1" si="73"/>
        <v>75.496755049317201</v>
      </c>
      <c r="L150" s="357">
        <f t="shared" ca="1" si="58"/>
        <v>77.001926740815904</v>
      </c>
      <c r="M150" s="359">
        <f t="shared" ca="1" si="74"/>
        <v>1.3600943685718925</v>
      </c>
      <c r="N150" s="357">
        <f t="shared" ca="1" si="75"/>
        <v>77.927667058680072</v>
      </c>
      <c r="O150" s="343"/>
      <c r="P150" s="363">
        <f t="shared" ca="1" si="76"/>
        <v>4</v>
      </c>
      <c r="Q150" s="357">
        <f t="shared" ca="1" si="77"/>
        <v>666.19999999999982</v>
      </c>
      <c r="R150" s="359">
        <f t="shared" ca="1" si="78"/>
        <v>0.33433474059571394</v>
      </c>
      <c r="S150" s="360">
        <f t="shared" ca="1" si="79"/>
        <v>9.1279116018985906</v>
      </c>
      <c r="T150" s="357">
        <f t="shared" ca="1" si="59"/>
        <v>89.544812814625175</v>
      </c>
      <c r="U150" s="364">
        <f t="shared" ca="1" si="60"/>
        <v>0</v>
      </c>
      <c r="V150" s="359">
        <f t="shared" ca="1" si="61"/>
        <v>1.2157864272487156</v>
      </c>
      <c r="W150" s="357">
        <f t="shared" ca="1" si="62"/>
        <v>28.867510951266194</v>
      </c>
      <c r="X150" s="343"/>
      <c r="Y150" s="367" t="str">
        <f t="shared" ca="1" si="80"/>
        <v/>
      </c>
      <c r="Z150" s="368" t="str">
        <f t="shared" ca="1" si="81"/>
        <v/>
      </c>
      <c r="AA150" s="369" t="str">
        <f t="shared" ca="1" si="82"/>
        <v/>
      </c>
      <c r="AB150" s="344"/>
      <c r="AC150" s="363" t="e">
        <f t="shared" ca="1" si="83"/>
        <v>#N/A</v>
      </c>
      <c r="AD150" s="376" t="e">
        <f t="shared" ca="1" si="84"/>
        <v>#N/A</v>
      </c>
      <c r="AE150" s="377">
        <f t="shared" ca="1" si="63"/>
        <v>75.496755049317201</v>
      </c>
      <c r="AF150" s="344"/>
      <c r="AG150" s="359">
        <f t="shared" ca="1" si="85"/>
        <v>60.265717995813667</v>
      </c>
      <c r="AH150" s="357">
        <f t="shared" ca="1" si="86"/>
        <v>69.859173840267189</v>
      </c>
    </row>
    <row r="151" spans="1:34" x14ac:dyDescent="0.25">
      <c r="A151" s="402">
        <f t="shared" ca="1" si="64"/>
        <v>0.01</v>
      </c>
      <c r="B151" s="357">
        <f t="shared" ca="1" si="65"/>
        <v>1.4700000000000011</v>
      </c>
      <c r="C151" s="342"/>
      <c r="D151" s="359">
        <f t="shared" ca="1" si="66"/>
        <v>14.571761794209305</v>
      </c>
      <c r="E151" s="360">
        <f t="shared" ca="1" si="67"/>
        <v>58.321694932627878</v>
      </c>
      <c r="F151" s="357">
        <f t="shared" ca="1" si="68"/>
        <v>60.114526876635153</v>
      </c>
      <c r="G151" s="359">
        <f t="shared" ca="1" si="69"/>
        <v>21.566561612183648</v>
      </c>
      <c r="H151" s="360">
        <f t="shared" ca="1" si="70"/>
        <v>100.73846439476884</v>
      </c>
      <c r="I151" s="357">
        <f t="shared" ca="1" si="71"/>
        <v>103.02113758053841</v>
      </c>
      <c r="J151" s="359">
        <f t="shared" ca="1" si="72"/>
        <v>15.365405628751256</v>
      </c>
      <c r="K151" s="360">
        <f t="shared" ca="1" si="73"/>
        <v>76.501223608518259</v>
      </c>
      <c r="L151" s="357">
        <f t="shared" ca="1" si="58"/>
        <v>78.029051664982902</v>
      </c>
      <c r="M151" s="359">
        <f t="shared" ca="1" si="74"/>
        <v>1.3598952127383146</v>
      </c>
      <c r="N151" s="357">
        <f t="shared" ca="1" si="75"/>
        <v>77.916256269950651</v>
      </c>
      <c r="O151" s="343"/>
      <c r="P151" s="363">
        <f t="shared" ca="1" si="76"/>
        <v>4</v>
      </c>
      <c r="Q151" s="357">
        <f t="shared" ca="1" si="77"/>
        <v>664.5999999999998</v>
      </c>
      <c r="R151" s="359">
        <f t="shared" ca="1" si="78"/>
        <v>0.33353177514246696</v>
      </c>
      <c r="S151" s="360">
        <f t="shared" ca="1" si="79"/>
        <v>9.1245762841471656</v>
      </c>
      <c r="T151" s="357">
        <f t="shared" ca="1" si="59"/>
        <v>89.512093347483699</v>
      </c>
      <c r="U151" s="364">
        <f t="shared" ca="1" si="60"/>
        <v>0</v>
      </c>
      <c r="V151" s="359">
        <f t="shared" ca="1" si="61"/>
        <v>1.2156643096945368</v>
      </c>
      <c r="W151" s="357">
        <f t="shared" ca="1" si="62"/>
        <v>29.204243893847213</v>
      </c>
      <c r="X151" s="343"/>
      <c r="Y151" s="367" t="str">
        <f t="shared" ca="1" si="80"/>
        <v/>
      </c>
      <c r="Z151" s="368" t="str">
        <f t="shared" ca="1" si="81"/>
        <v/>
      </c>
      <c r="AA151" s="369" t="str">
        <f t="shared" ca="1" si="82"/>
        <v/>
      </c>
      <c r="AB151" s="344"/>
      <c r="AC151" s="363" t="e">
        <f t="shared" ca="1" si="83"/>
        <v>#N/A</v>
      </c>
      <c r="AD151" s="376" t="e">
        <f t="shared" ca="1" si="84"/>
        <v>#N/A</v>
      </c>
      <c r="AE151" s="377">
        <f t="shared" ca="1" si="63"/>
        <v>76.501223608518259</v>
      </c>
      <c r="AF151" s="344"/>
      <c r="AG151" s="359">
        <f t="shared" ca="1" si="85"/>
        <v>60.079503675216706</v>
      </c>
      <c r="AH151" s="357">
        <f t="shared" ca="1" si="86"/>
        <v>69.672549086278224</v>
      </c>
    </row>
    <row r="152" spans="1:34" x14ac:dyDescent="0.25">
      <c r="A152" s="402">
        <f t="shared" ca="1" si="64"/>
        <v>0.01</v>
      </c>
      <c r="B152" s="357">
        <f t="shared" ca="1" si="65"/>
        <v>1.4800000000000011</v>
      </c>
      <c r="C152" s="342"/>
      <c r="D152" s="359">
        <f t="shared" ca="1" si="66"/>
        <v>14.546201009551035</v>
      </c>
      <c r="E152" s="360">
        <f t="shared" ca="1" si="67"/>
        <v>58.136016561674708</v>
      </c>
      <c r="F152" s="357">
        <f t="shared" ca="1" si="68"/>
        <v>59.928193577560634</v>
      </c>
      <c r="G152" s="359">
        <f t="shared" ca="1" si="69"/>
        <v>21.712023622279158</v>
      </c>
      <c r="H152" s="360">
        <f t="shared" ca="1" si="70"/>
        <v>101.31982456038558</v>
      </c>
      <c r="I152" s="357">
        <f t="shared" ca="1" si="71"/>
        <v>103.62006957497047</v>
      </c>
      <c r="J152" s="359">
        <f t="shared" ca="1" si="72"/>
        <v>15.581798554923571</v>
      </c>
      <c r="K152" s="360">
        <f t="shared" ca="1" si="73"/>
        <v>77.511515053294033</v>
      </c>
      <c r="L152" s="357">
        <f t="shared" ca="1" si="58"/>
        <v>79.062174344393327</v>
      </c>
      <c r="M152" s="359">
        <f t="shared" ca="1" si="74"/>
        <v>1.3596970236682184</v>
      </c>
      <c r="N152" s="357">
        <f t="shared" ca="1" si="75"/>
        <v>77.904900872688515</v>
      </c>
      <c r="O152" s="343"/>
      <c r="P152" s="363">
        <f t="shared" ca="1" si="76"/>
        <v>4</v>
      </c>
      <c r="Q152" s="357">
        <f t="shared" ca="1" si="77"/>
        <v>662.99999999999977</v>
      </c>
      <c r="R152" s="359">
        <f t="shared" ca="1" si="78"/>
        <v>0.33272880968921997</v>
      </c>
      <c r="S152" s="360">
        <f t="shared" ca="1" si="79"/>
        <v>9.121248996050273</v>
      </c>
      <c r="T152" s="357">
        <f t="shared" ca="1" si="59"/>
        <v>89.479452651253183</v>
      </c>
      <c r="U152" s="364">
        <f t="shared" ca="1" si="60"/>
        <v>0</v>
      </c>
      <c r="V152" s="359">
        <f t="shared" ca="1" si="61"/>
        <v>1.2155414965525888</v>
      </c>
      <c r="W152" s="357">
        <f t="shared" ca="1" si="62"/>
        <v>29.541814480835907</v>
      </c>
      <c r="X152" s="343"/>
      <c r="Y152" s="367" t="str">
        <f t="shared" ca="1" si="80"/>
        <v/>
      </c>
      <c r="Z152" s="368" t="str">
        <f t="shared" ca="1" si="81"/>
        <v/>
      </c>
      <c r="AA152" s="369" t="str">
        <f t="shared" ca="1" si="82"/>
        <v/>
      </c>
      <c r="AB152" s="344"/>
      <c r="AC152" s="363" t="e">
        <f t="shared" ca="1" si="83"/>
        <v>#N/A</v>
      </c>
      <c r="AD152" s="376" t="e">
        <f t="shared" ca="1" si="84"/>
        <v>#N/A</v>
      </c>
      <c r="AE152" s="377">
        <f t="shared" ca="1" si="63"/>
        <v>77.511515053294033</v>
      </c>
      <c r="AF152" s="344"/>
      <c r="AG152" s="359">
        <f t="shared" ca="1" si="85"/>
        <v>59.892995939051467</v>
      </c>
      <c r="AH152" s="357">
        <f t="shared" ca="1" si="86"/>
        <v>69.485632546661307</v>
      </c>
    </row>
    <row r="153" spans="1:34" x14ac:dyDescent="0.25">
      <c r="A153" s="402">
        <f t="shared" ca="1" si="64"/>
        <v>0.01</v>
      </c>
      <c r="B153" s="357">
        <f t="shared" ca="1" si="65"/>
        <v>1.4900000000000011</v>
      </c>
      <c r="C153" s="342"/>
      <c r="D153" s="359">
        <f t="shared" ca="1" si="66"/>
        <v>14.520440717036665</v>
      </c>
      <c r="E153" s="360">
        <f t="shared" ca="1" si="67"/>
        <v>57.950082228355527</v>
      </c>
      <c r="F153" s="357">
        <f t="shared" ca="1" si="68"/>
        <v>59.741570358420802</v>
      </c>
      <c r="G153" s="359">
        <f t="shared" ca="1" si="69"/>
        <v>21.857228029449526</v>
      </c>
      <c r="H153" s="360">
        <f t="shared" ca="1" si="70"/>
        <v>101.89932538266913</v>
      </c>
      <c r="I153" s="357">
        <f t="shared" ca="1" si="71"/>
        <v>104.21713357492821</v>
      </c>
      <c r="J153" s="359">
        <f t="shared" ca="1" si="72"/>
        <v>15.799644813182214</v>
      </c>
      <c r="K153" s="360">
        <f t="shared" ca="1" si="73"/>
        <v>78.52761080300931</v>
      </c>
      <c r="L153" s="357">
        <f t="shared" ca="1" si="58"/>
        <v>80.101276111255686</v>
      </c>
      <c r="M153" s="359">
        <f t="shared" ca="1" si="74"/>
        <v>1.3594997876123041</v>
      </c>
      <c r="N153" s="357">
        <f t="shared" ca="1" si="75"/>
        <v>77.893600079116823</v>
      </c>
      <c r="O153" s="343"/>
      <c r="P153" s="363">
        <f t="shared" ca="1" si="76"/>
        <v>4</v>
      </c>
      <c r="Q153" s="357">
        <f t="shared" ca="1" si="77"/>
        <v>661.39999999999986</v>
      </c>
      <c r="R153" s="359">
        <f t="shared" ca="1" si="78"/>
        <v>0.33192584423597304</v>
      </c>
      <c r="S153" s="360">
        <f t="shared" ca="1" si="79"/>
        <v>9.1179297376079127</v>
      </c>
      <c r="T153" s="357">
        <f t="shared" ca="1" si="59"/>
        <v>89.446890725933628</v>
      </c>
      <c r="U153" s="364">
        <f t="shared" ca="1" si="60"/>
        <v>0</v>
      </c>
      <c r="V153" s="359">
        <f t="shared" ca="1" si="61"/>
        <v>1.2154179902930804</v>
      </c>
      <c r="W153" s="357">
        <f t="shared" ca="1" si="62"/>
        <v>29.88020180173395</v>
      </c>
      <c r="X153" s="343"/>
      <c r="Y153" s="367" t="str">
        <f t="shared" ca="1" si="80"/>
        <v/>
      </c>
      <c r="Z153" s="368" t="str">
        <f t="shared" ca="1" si="81"/>
        <v/>
      </c>
      <c r="AA153" s="369" t="str">
        <f t="shared" ca="1" si="82"/>
        <v/>
      </c>
      <c r="AB153" s="344"/>
      <c r="AC153" s="363" t="e">
        <f t="shared" ca="1" si="83"/>
        <v>#N/A</v>
      </c>
      <c r="AD153" s="376" t="e">
        <f t="shared" ca="1" si="84"/>
        <v>#N/A</v>
      </c>
      <c r="AE153" s="377">
        <f t="shared" ca="1" si="63"/>
        <v>78.52761080300931</v>
      </c>
      <c r="AF153" s="344"/>
      <c r="AG153" s="359">
        <f t="shared" ca="1" si="85"/>
        <v>59.706197282707898</v>
      </c>
      <c r="AH153" s="357">
        <f t="shared" ca="1" si="86"/>
        <v>69.298426693616065</v>
      </c>
    </row>
    <row r="154" spans="1:34" x14ac:dyDescent="0.25">
      <c r="A154" s="402">
        <f t="shared" ca="1" si="64"/>
        <v>0.01</v>
      </c>
      <c r="B154" s="357">
        <f t="shared" ca="1" si="65"/>
        <v>1.5000000000000011</v>
      </c>
      <c r="C154" s="342"/>
      <c r="D154" s="359">
        <f t="shared" ca="1" si="66"/>
        <v>14.494482739541526</v>
      </c>
      <c r="E154" s="360">
        <f t="shared" ca="1" si="67"/>
        <v>57.763894134242634</v>
      </c>
      <c r="F154" s="357">
        <f t="shared" ca="1" si="68"/>
        <v>59.55465972901581</v>
      </c>
      <c r="G154" s="359">
        <f t="shared" ca="1" si="69"/>
        <v>22.002172856844943</v>
      </c>
      <c r="H154" s="360">
        <f t="shared" ca="1" si="70"/>
        <v>102.47696432401156</v>
      </c>
      <c r="I154" s="357">
        <f t="shared" ca="1" si="71"/>
        <v>104.81232669627758</v>
      </c>
      <c r="J154" s="359">
        <f t="shared" ca="1" si="72"/>
        <v>16.018941817613687</v>
      </c>
      <c r="K154" s="360">
        <f t="shared" ca="1" si="73"/>
        <v>79.549492251542716</v>
      </c>
      <c r="L154" s="357">
        <f t="shared" ca="1" si="58"/>
        <v>81.146338268798957</v>
      </c>
      <c r="M154" s="359">
        <f t="shared" ca="1" si="74"/>
        <v>1.3593034910891051</v>
      </c>
      <c r="N154" s="357">
        <f t="shared" ca="1" si="75"/>
        <v>77.882353116804424</v>
      </c>
      <c r="O154" s="343"/>
      <c r="P154" s="363">
        <f t="shared" ca="1" si="76"/>
        <v>4</v>
      </c>
      <c r="Q154" s="357">
        <f t="shared" ca="1" si="77"/>
        <v>659.79999999999984</v>
      </c>
      <c r="R154" s="359">
        <f t="shared" ca="1" si="78"/>
        <v>0.331122878782726</v>
      </c>
      <c r="S154" s="360">
        <f t="shared" ca="1" si="79"/>
        <v>9.1146185088200848</v>
      </c>
      <c r="T154" s="357">
        <f t="shared" ca="1" si="59"/>
        <v>89.414407571525032</v>
      </c>
      <c r="U154" s="364">
        <f t="shared" ca="1" si="60"/>
        <v>0</v>
      </c>
      <c r="V154" s="359">
        <f t="shared" ca="1" si="61"/>
        <v>1.2152937933895636</v>
      </c>
      <c r="W154" s="357">
        <f t="shared" ca="1" si="62"/>
        <v>30.219384987657861</v>
      </c>
      <c r="X154" s="343"/>
      <c r="Y154" s="367" t="str">
        <f t="shared" ca="1" si="80"/>
        <v/>
      </c>
      <c r="Z154" s="368" t="str">
        <f t="shared" ca="1" si="81"/>
        <v/>
      </c>
      <c r="AA154" s="369" t="str">
        <f t="shared" ca="1" si="82"/>
        <v/>
      </c>
      <c r="AB154" s="344"/>
      <c r="AC154" s="363" t="e">
        <f t="shared" ca="1" si="83"/>
        <v>#N/A</v>
      </c>
      <c r="AD154" s="376" t="e">
        <f t="shared" ca="1" si="84"/>
        <v>#N/A</v>
      </c>
      <c r="AE154" s="377">
        <f t="shared" ca="1" si="63"/>
        <v>79.549492251542716</v>
      </c>
      <c r="AF154" s="344"/>
      <c r="AG154" s="359">
        <f t="shared" ca="1" si="85"/>
        <v>59.519110201804395</v>
      </c>
      <c r="AH154" s="357">
        <f t="shared" ca="1" si="86"/>
        <v>69.110934000002473</v>
      </c>
    </row>
    <row r="155" spans="1:34" x14ac:dyDescent="0.25">
      <c r="A155" s="402">
        <f t="shared" ca="1" si="64"/>
        <v>0.01</v>
      </c>
      <c r="B155" s="357">
        <f t="shared" ca="1" si="65"/>
        <v>1.5100000000000011</v>
      </c>
      <c r="C155" s="342"/>
      <c r="D155" s="359">
        <f t="shared" ca="1" si="66"/>
        <v>14.469942194702526</v>
      </c>
      <c r="E155" s="360">
        <f t="shared" ca="1" si="67"/>
        <v>57.58496865627643</v>
      </c>
      <c r="F155" s="357">
        <f t="shared" ca="1" si="68"/>
        <v>59.375144987295585</v>
      </c>
      <c r="G155" s="359">
        <f t="shared" ca="1" si="69"/>
        <v>22.146872278791967</v>
      </c>
      <c r="H155" s="360">
        <f t="shared" ca="1" si="70"/>
        <v>103.05281401057432</v>
      </c>
      <c r="I155" s="357">
        <f t="shared" ca="1" si="71"/>
        <v>105.40572293396193</v>
      </c>
      <c r="J155" s="359">
        <f t="shared" ca="1" si="72"/>
        <v>16.239687043291873</v>
      </c>
      <c r="K155" s="360">
        <f t="shared" ca="1" si="73"/>
        <v>80.577141143215641</v>
      </c>
      <c r="L155" s="357">
        <f t="shared" ca="1" si="58"/>
        <v>82.197342475762298</v>
      </c>
      <c r="M155" s="359">
        <f t="shared" ca="1" si="74"/>
        <v>1.3591081210203395</v>
      </c>
      <c r="N155" s="357">
        <f t="shared" ca="1" si="75"/>
        <v>77.871159236420979</v>
      </c>
      <c r="O155" s="343"/>
      <c r="P155" s="363">
        <f t="shared" ca="1" si="76"/>
        <v>5</v>
      </c>
      <c r="Q155" s="357">
        <f t="shared" ca="1" si="77"/>
        <v>658.26999999999987</v>
      </c>
      <c r="R155" s="359">
        <f t="shared" ca="1" si="78"/>
        <v>0.33035504306805863</v>
      </c>
      <c r="S155" s="360">
        <f t="shared" ca="1" si="79"/>
        <v>9.1113149583894035</v>
      </c>
      <c r="T155" s="357">
        <f t="shared" ca="1" si="59"/>
        <v>89.381999741800058</v>
      </c>
      <c r="U155" s="364">
        <f t="shared" ca="1" si="60"/>
        <v>0</v>
      </c>
      <c r="V155" s="359">
        <f t="shared" ca="1" si="61"/>
        <v>1.2151689082732393</v>
      </c>
      <c r="W155" s="357">
        <f t="shared" ca="1" si="62"/>
        <v>30.559387774329011</v>
      </c>
      <c r="X155" s="343"/>
      <c r="Y155" s="367" t="str">
        <f t="shared" ca="1" si="80"/>
        <v/>
      </c>
      <c r="Z155" s="368" t="str">
        <f t="shared" ca="1" si="81"/>
        <v/>
      </c>
      <c r="AA155" s="369" t="str">
        <f t="shared" ca="1" si="82"/>
        <v/>
      </c>
      <c r="AB155" s="344"/>
      <c r="AC155" s="363" t="e">
        <f t="shared" ca="1" si="83"/>
        <v>#N/A</v>
      </c>
      <c r="AD155" s="376" t="e">
        <f t="shared" ca="1" si="84"/>
        <v>#N/A</v>
      </c>
      <c r="AE155" s="377">
        <f t="shared" ca="1" si="63"/>
        <v>80.577141143215641</v>
      </c>
      <c r="AF155" s="344"/>
      <c r="AG155" s="359">
        <f t="shared" ca="1" si="85"/>
        <v>59.339422604439228</v>
      </c>
      <c r="AH155" s="357">
        <f t="shared" ca="1" si="86"/>
        <v>68.93084235158102</v>
      </c>
    </row>
    <row r="156" spans="1:34" x14ac:dyDescent="0.25">
      <c r="A156" s="402">
        <f t="shared" ca="1" si="64"/>
        <v>0.01</v>
      </c>
      <c r="B156" s="357">
        <f t="shared" ca="1" si="65"/>
        <v>1.5200000000000011</v>
      </c>
      <c r="C156" s="342"/>
      <c r="D156" s="359">
        <f t="shared" ca="1" si="66"/>
        <v>14.44682652867534</v>
      </c>
      <c r="E156" s="360">
        <f t="shared" ca="1" si="67"/>
        <v>57.413313006066574</v>
      </c>
      <c r="F156" s="357">
        <f t="shared" ca="1" si="68"/>
        <v>59.203034610416807</v>
      </c>
      <c r="G156" s="359">
        <f t="shared" ca="1" si="69"/>
        <v>22.291340544078722</v>
      </c>
      <c r="H156" s="360">
        <f t="shared" ca="1" si="70"/>
        <v>103.62694714063498</v>
      </c>
      <c r="I156" s="357">
        <f t="shared" ca="1" si="71"/>
        <v>105.99739636868466</v>
      </c>
      <c r="J156" s="359">
        <f t="shared" ca="1" si="72"/>
        <v>16.461878107406228</v>
      </c>
      <c r="K156" s="360">
        <f t="shared" ca="1" si="73"/>
        <v>81.610539948971692</v>
      </c>
      <c r="L156" s="357">
        <f t="shared" ca="1" si="58"/>
        <v>83.254271131190649</v>
      </c>
      <c r="M156" s="359">
        <f t="shared" ca="1" si="74"/>
        <v>1.3589136647184572</v>
      </c>
      <c r="N156" s="357">
        <f t="shared" ca="1" si="75"/>
        <v>77.860017711023403</v>
      </c>
      <c r="O156" s="343"/>
      <c r="P156" s="363">
        <f t="shared" ca="1" si="76"/>
        <v>5</v>
      </c>
      <c r="Q156" s="357">
        <f t="shared" ca="1" si="77"/>
        <v>656.80999999999983</v>
      </c>
      <c r="R156" s="359">
        <f t="shared" ca="1" si="78"/>
        <v>0.3296223370919707</v>
      </c>
      <c r="S156" s="360">
        <f t="shared" ca="1" si="79"/>
        <v>9.1080187350184847</v>
      </c>
      <c r="T156" s="357">
        <f t="shared" ca="1" si="59"/>
        <v>89.349663790531338</v>
      </c>
      <c r="U156" s="364">
        <f t="shared" ca="1" si="60"/>
        <v>0</v>
      </c>
      <c r="V156" s="359">
        <f t="shared" ca="1" si="61"/>
        <v>1.2150433372872549</v>
      </c>
      <c r="W156" s="357">
        <f t="shared" ca="1" si="62"/>
        <v>30.900234955677622</v>
      </c>
      <c r="X156" s="343"/>
      <c r="Y156" s="367" t="str">
        <f t="shared" ca="1" si="80"/>
        <v/>
      </c>
      <c r="Z156" s="368" t="str">
        <f t="shared" ca="1" si="81"/>
        <v/>
      </c>
      <c r="AA156" s="369" t="str">
        <f t="shared" ca="1" si="82"/>
        <v/>
      </c>
      <c r="AB156" s="344"/>
      <c r="AC156" s="363" t="e">
        <f t="shared" ca="1" si="83"/>
        <v>#N/A</v>
      </c>
      <c r="AD156" s="376" t="e">
        <f t="shared" ca="1" si="84"/>
        <v>#N/A</v>
      </c>
      <c r="AE156" s="377">
        <f t="shared" ca="1" si="63"/>
        <v>81.610539948971692</v>
      </c>
      <c r="AF156" s="344"/>
      <c r="AG156" s="359">
        <f t="shared" ca="1" si="85"/>
        <v>59.167143066954594</v>
      </c>
      <c r="AH156" s="357">
        <f t="shared" ca="1" si="86"/>
        <v>68.758160303059569</v>
      </c>
    </row>
    <row r="157" spans="1:34" x14ac:dyDescent="0.25">
      <c r="A157" s="402">
        <f t="shared" ca="1" si="64"/>
        <v>0.01</v>
      </c>
      <c r="B157" s="357">
        <f t="shared" ca="1" si="65"/>
        <v>1.5300000000000011</v>
      </c>
      <c r="C157" s="342"/>
      <c r="D157" s="359">
        <f t="shared" ca="1" si="66"/>
        <v>14.423525668087592</v>
      </c>
      <c r="E157" s="360">
        <f t="shared" ca="1" si="67"/>
        <v>57.241415280878442</v>
      </c>
      <c r="F157" s="357">
        <f t="shared" ca="1" si="68"/>
        <v>59.030650649098945</v>
      </c>
      <c r="G157" s="359">
        <f t="shared" ca="1" si="69"/>
        <v>22.435575800759597</v>
      </c>
      <c r="H157" s="360">
        <f t="shared" ca="1" si="70"/>
        <v>104.19936129344377</v>
      </c>
      <c r="I157" s="357">
        <f t="shared" ca="1" si="71"/>
        <v>106.58734425565382</v>
      </c>
      <c r="J157" s="359">
        <f t="shared" ca="1" si="72"/>
        <v>16.68551268913042</v>
      </c>
      <c r="K157" s="360">
        <f t="shared" ca="1" si="73"/>
        <v>82.649671491142087</v>
      </c>
      <c r="L157" s="357">
        <f t="shared" ca="1" si="58"/>
        <v>84.317106990769304</v>
      </c>
      <c r="M157" s="359">
        <f t="shared" ca="1" si="74"/>
        <v>1.3587201097350057</v>
      </c>
      <c r="N157" s="357">
        <f t="shared" ca="1" si="75"/>
        <v>77.848927827367902</v>
      </c>
      <c r="O157" s="343"/>
      <c r="P157" s="363">
        <f t="shared" ca="1" si="76"/>
        <v>5</v>
      </c>
      <c r="Q157" s="357">
        <f t="shared" ca="1" si="77"/>
        <v>655.3499999999998</v>
      </c>
      <c r="R157" s="359">
        <f t="shared" ca="1" si="78"/>
        <v>0.32888963111588282</v>
      </c>
      <c r="S157" s="360">
        <f t="shared" ca="1" si="79"/>
        <v>9.1047298387073266</v>
      </c>
      <c r="T157" s="357">
        <f t="shared" ca="1" si="59"/>
        <v>89.317399717718871</v>
      </c>
      <c r="U157" s="364">
        <f t="shared" ca="1" si="60"/>
        <v>0</v>
      </c>
      <c r="V157" s="359">
        <f t="shared" ca="1" si="61"/>
        <v>1.2149170827323275</v>
      </c>
      <c r="W157" s="357">
        <f t="shared" ca="1" si="62"/>
        <v>31.241907291380233</v>
      </c>
      <c r="X157" s="343"/>
      <c r="Y157" s="367" t="str">
        <f t="shared" ca="1" si="80"/>
        <v/>
      </c>
      <c r="Z157" s="368" t="str">
        <f t="shared" ca="1" si="81"/>
        <v/>
      </c>
      <c r="AA157" s="369" t="str">
        <f t="shared" ca="1" si="82"/>
        <v/>
      </c>
      <c r="AB157" s="344"/>
      <c r="AC157" s="363" t="e">
        <f t="shared" ca="1" si="83"/>
        <v>#N/A</v>
      </c>
      <c r="AD157" s="376" t="e">
        <f t="shared" ca="1" si="84"/>
        <v>#N/A</v>
      </c>
      <c r="AE157" s="377">
        <f t="shared" ca="1" si="63"/>
        <v>82.649671491142087</v>
      </c>
      <c r="AF157" s="344"/>
      <c r="AG157" s="359">
        <f t="shared" ca="1" si="85"/>
        <v>58.99458903999799</v>
      </c>
      <c r="AH157" s="357">
        <f t="shared" ca="1" si="86"/>
        <v>68.585205284133991</v>
      </c>
    </row>
    <row r="158" spans="1:34" x14ac:dyDescent="0.25">
      <c r="A158" s="402">
        <f t="shared" ca="1" si="64"/>
        <v>0.01</v>
      </c>
      <c r="B158" s="357">
        <f t="shared" ca="1" si="65"/>
        <v>1.5400000000000011</v>
      </c>
      <c r="C158" s="342"/>
      <c r="D158" s="359">
        <f t="shared" ca="1" si="66"/>
        <v>14.40004123525995</v>
      </c>
      <c r="E158" s="360">
        <f t="shared" ca="1" si="67"/>
        <v>57.06927747602262</v>
      </c>
      <c r="F158" s="357">
        <f t="shared" ca="1" si="68"/>
        <v>58.857995372017641</v>
      </c>
      <c r="G158" s="359">
        <f t="shared" ca="1" si="69"/>
        <v>22.579576213112198</v>
      </c>
      <c r="H158" s="360">
        <f t="shared" ca="1" si="70"/>
        <v>104.770054068204</v>
      </c>
      <c r="I158" s="357">
        <f t="shared" ca="1" si="71"/>
        <v>107.17556387263906</v>
      </c>
      <c r="J158" s="359">
        <f t="shared" ca="1" si="72"/>
        <v>16.910588449199778</v>
      </c>
      <c r="K158" s="360">
        <f t="shared" ca="1" si="73"/>
        <v>83.694518567950325</v>
      </c>
      <c r="L158" s="357">
        <f t="shared" ca="1" si="58"/>
        <v>85.385832782840453</v>
      </c>
      <c r="M158" s="359">
        <f t="shared" ca="1" si="74"/>
        <v>1.3585274438545059</v>
      </c>
      <c r="N158" s="357">
        <f t="shared" ca="1" si="75"/>
        <v>77.837888885559096</v>
      </c>
      <c r="O158" s="343"/>
      <c r="P158" s="363">
        <f t="shared" ca="1" si="76"/>
        <v>5</v>
      </c>
      <c r="Q158" s="357">
        <f t="shared" ca="1" si="77"/>
        <v>653.88999999999987</v>
      </c>
      <c r="R158" s="359">
        <f t="shared" ca="1" si="78"/>
        <v>0.328156925139795</v>
      </c>
      <c r="S158" s="360">
        <f t="shared" ca="1" si="79"/>
        <v>9.1014482694559291</v>
      </c>
      <c r="T158" s="357">
        <f t="shared" ca="1" si="59"/>
        <v>89.285207523362672</v>
      </c>
      <c r="U158" s="364">
        <f t="shared" ca="1" si="60"/>
        <v>0</v>
      </c>
      <c r="V158" s="359">
        <f t="shared" ca="1" si="61"/>
        <v>1.2147901469123672</v>
      </c>
      <c r="W158" s="357">
        <f t="shared" ca="1" si="62"/>
        <v>31.584385575108477</v>
      </c>
      <c r="X158" s="343"/>
      <c r="Y158" s="367" t="str">
        <f t="shared" ca="1" si="80"/>
        <v/>
      </c>
      <c r="Z158" s="368" t="str">
        <f t="shared" ca="1" si="81"/>
        <v/>
      </c>
      <c r="AA158" s="369" t="str">
        <f t="shared" ca="1" si="82"/>
        <v/>
      </c>
      <c r="AB158" s="344"/>
      <c r="AC158" s="363" t="e">
        <f t="shared" ca="1" si="83"/>
        <v>#N/A</v>
      </c>
      <c r="AD158" s="376" t="e">
        <f t="shared" ca="1" si="84"/>
        <v>#N/A</v>
      </c>
      <c r="AE158" s="377">
        <f t="shared" ca="1" si="63"/>
        <v>83.694518567950325</v>
      </c>
      <c r="AF158" s="344"/>
      <c r="AG158" s="359">
        <f t="shared" ca="1" si="85"/>
        <v>58.821762779918821</v>
      </c>
      <c r="AH158" s="357">
        <f t="shared" ca="1" si="86"/>
        <v>68.41197953057646</v>
      </c>
    </row>
    <row r="159" spans="1:34" x14ac:dyDescent="0.25">
      <c r="A159" s="402">
        <f t="shared" ca="1" si="64"/>
        <v>0.01</v>
      </c>
      <c r="B159" s="357">
        <f t="shared" ca="1" si="65"/>
        <v>1.5500000000000012</v>
      </c>
      <c r="C159" s="342"/>
      <c r="D159" s="359">
        <f t="shared" ca="1" si="66"/>
        <v>14.376374831623027</v>
      </c>
      <c r="E159" s="360">
        <f t="shared" ca="1" si="67"/>
        <v>56.896901590971268</v>
      </c>
      <c r="F159" s="357">
        <f t="shared" ca="1" si="68"/>
        <v>58.685071048367938</v>
      </c>
      <c r="G159" s="359">
        <f t="shared" ca="1" si="69"/>
        <v>22.723339961428429</v>
      </c>
      <c r="H159" s="360">
        <f t="shared" ca="1" si="70"/>
        <v>105.33902308411372</v>
      </c>
      <c r="I159" s="357">
        <f t="shared" ca="1" si="71"/>
        <v>107.76205251997612</v>
      </c>
      <c r="J159" s="359">
        <f t="shared" ca="1" si="72"/>
        <v>17.137103030072481</v>
      </c>
      <c r="K159" s="360">
        <f t="shared" ca="1" si="73"/>
        <v>84.74506395371192</v>
      </c>
      <c r="L159" s="357">
        <f t="shared" ca="1" si="58"/>
        <v>86.460431208628862</v>
      </c>
      <c r="M159" s="359">
        <f t="shared" ca="1" si="74"/>
        <v>1.3583356550885217</v>
      </c>
      <c r="N159" s="357">
        <f t="shared" ca="1" si="75"/>
        <v>77.826900198710177</v>
      </c>
      <c r="O159" s="343"/>
      <c r="P159" s="363">
        <f t="shared" ca="1" si="76"/>
        <v>5</v>
      </c>
      <c r="Q159" s="357">
        <f t="shared" ca="1" si="77"/>
        <v>652.42999999999984</v>
      </c>
      <c r="R159" s="359">
        <f t="shared" ca="1" si="78"/>
        <v>0.32742421916370706</v>
      </c>
      <c r="S159" s="360">
        <f t="shared" ca="1" si="79"/>
        <v>9.0981740272642924</v>
      </c>
      <c r="T159" s="357">
        <f t="shared" ca="1" si="59"/>
        <v>89.253087207462713</v>
      </c>
      <c r="U159" s="364">
        <f t="shared" ca="1" si="60"/>
        <v>0</v>
      </c>
      <c r="V159" s="359">
        <f t="shared" ca="1" si="61"/>
        <v>1.2146625321344395</v>
      </c>
      <c r="W159" s="357">
        <f t="shared" ca="1" si="62"/>
        <v>31.927650635266378</v>
      </c>
      <c r="X159" s="343"/>
      <c r="Y159" s="367" t="str">
        <f t="shared" ca="1" si="80"/>
        <v/>
      </c>
      <c r="Z159" s="368" t="str">
        <f t="shared" ca="1" si="81"/>
        <v/>
      </c>
      <c r="AA159" s="369" t="str">
        <f t="shared" ca="1" si="82"/>
        <v/>
      </c>
      <c r="AB159" s="344"/>
      <c r="AC159" s="363" t="e">
        <f t="shared" ca="1" si="83"/>
        <v>#N/A</v>
      </c>
      <c r="AD159" s="376" t="e">
        <f t="shared" ca="1" si="84"/>
        <v>#N/A</v>
      </c>
      <c r="AE159" s="377">
        <f t="shared" ca="1" si="63"/>
        <v>84.74506395371192</v>
      </c>
      <c r="AF159" s="344"/>
      <c r="AG159" s="359">
        <f t="shared" ca="1" si="85"/>
        <v>58.64866654350233</v>
      </c>
      <c r="AH159" s="357">
        <f t="shared" ca="1" si="86"/>
        <v>68.23848527896007</v>
      </c>
    </row>
    <row r="160" spans="1:34" x14ac:dyDescent="0.25">
      <c r="A160" s="402">
        <f t="shared" ca="1" si="64"/>
        <v>0.01</v>
      </c>
      <c r="B160" s="357">
        <f t="shared" ca="1" si="65"/>
        <v>1.5600000000000012</v>
      </c>
      <c r="C160" s="342"/>
      <c r="D160" s="359">
        <f t="shared" ca="1" si="66"/>
        <v>14.352528038243532</v>
      </c>
      <c r="E160" s="360">
        <f t="shared" ca="1" si="67"/>
        <v>56.72428962917671</v>
      </c>
      <c r="F160" s="357">
        <f t="shared" ca="1" si="68"/>
        <v>58.511879947778901</v>
      </c>
      <c r="G160" s="359">
        <f t="shared" ca="1" si="69"/>
        <v>22.866865241810864</v>
      </c>
      <c r="H160" s="360">
        <f t="shared" ca="1" si="70"/>
        <v>105.90626598040549</v>
      </c>
      <c r="I160" s="357">
        <f t="shared" ca="1" si="71"/>
        <v>108.34680752057041</v>
      </c>
      <c r="J160" s="359">
        <f t="shared" ca="1" si="72"/>
        <v>17.365054056088677</v>
      </c>
      <c r="K160" s="360">
        <f t="shared" ca="1" si="73"/>
        <v>85.801290399034514</v>
      </c>
      <c r="L160" s="357">
        <f t="shared" ca="1" si="58"/>
        <v>87.5408849424675</v>
      </c>
      <c r="M160" s="359">
        <f t="shared" ca="1" si="74"/>
        <v>1.3581447316699193</v>
      </c>
      <c r="N160" s="357">
        <f t="shared" ca="1" si="75"/>
        <v>77.815961092614046</v>
      </c>
      <c r="O160" s="343"/>
      <c r="P160" s="363">
        <f t="shared" ca="1" si="76"/>
        <v>5</v>
      </c>
      <c r="Q160" s="357">
        <f t="shared" ca="1" si="77"/>
        <v>650.9699999999998</v>
      </c>
      <c r="R160" s="359">
        <f t="shared" ca="1" si="78"/>
        <v>0.32669151318761919</v>
      </c>
      <c r="S160" s="360">
        <f t="shared" ca="1" si="79"/>
        <v>9.0949071121324163</v>
      </c>
      <c r="T160" s="357">
        <f t="shared" ca="1" si="59"/>
        <v>89.221038770019007</v>
      </c>
      <c r="U160" s="364">
        <f t="shared" ca="1" si="60"/>
        <v>0</v>
      </c>
      <c r="V160" s="359">
        <f t="shared" ca="1" si="61"/>
        <v>1.2145342407087283</v>
      </c>
      <c r="W160" s="357">
        <f t="shared" ca="1" si="62"/>
        <v>32.271683335722962</v>
      </c>
      <c r="X160" s="343"/>
      <c r="Y160" s="367" t="str">
        <f t="shared" ca="1" si="80"/>
        <v/>
      </c>
      <c r="Z160" s="368" t="str">
        <f t="shared" ca="1" si="81"/>
        <v/>
      </c>
      <c r="AA160" s="369" t="str">
        <f t="shared" ca="1" si="82"/>
        <v/>
      </c>
      <c r="AB160" s="344"/>
      <c r="AC160" s="363" t="e">
        <f t="shared" ca="1" si="83"/>
        <v>#N/A</v>
      </c>
      <c r="AD160" s="376" t="e">
        <f t="shared" ca="1" si="84"/>
        <v>#N/A</v>
      </c>
      <c r="AE160" s="377">
        <f t="shared" ca="1" si="63"/>
        <v>85.801290399034514</v>
      </c>
      <c r="AF160" s="344"/>
      <c r="AG160" s="359">
        <f t="shared" ca="1" si="85"/>
        <v>58.475302587881103</v>
      </c>
      <c r="AH160" s="357">
        <f t="shared" ca="1" si="86"/>
        <v>68.06472476656127</v>
      </c>
    </row>
    <row r="161" spans="1:34" x14ac:dyDescent="0.25">
      <c r="A161" s="402">
        <f t="shared" ca="1" si="64"/>
        <v>0.01</v>
      </c>
      <c r="B161" s="357">
        <f t="shared" ca="1" si="65"/>
        <v>1.5700000000000012</v>
      </c>
      <c r="C161" s="342"/>
      <c r="D161" s="359">
        <f t="shared" ca="1" si="66"/>
        <v>14.328502416332956</v>
      </c>
      <c r="E161" s="360">
        <f t="shared" ca="1" si="67"/>
        <v>56.551443597892529</v>
      </c>
      <c r="F161" s="357">
        <f t="shared" ca="1" si="68"/>
        <v>58.338424340227768</v>
      </c>
      <c r="G161" s="359">
        <f t="shared" ca="1" si="69"/>
        <v>23.010150265974193</v>
      </c>
      <c r="H161" s="360">
        <f t="shared" ca="1" si="70"/>
        <v>106.47178041638442</v>
      </c>
      <c r="I161" s="357">
        <f t="shared" ca="1" si="71"/>
        <v>108.92982621989945</v>
      </c>
      <c r="J161" s="359">
        <f t="shared" ca="1" si="72"/>
        <v>17.594439133627603</v>
      </c>
      <c r="K161" s="360">
        <f t="shared" ca="1" si="73"/>
        <v>86.863180631018466</v>
      </c>
      <c r="L161" s="357">
        <f t="shared" ca="1" si="58"/>
        <v>88.627176632023364</v>
      </c>
      <c r="M161" s="359">
        <f t="shared" ca="1" si="74"/>
        <v>1.3579546620473057</v>
      </c>
      <c r="N161" s="357">
        <f t="shared" ca="1" si="75"/>
        <v>77.805070905424657</v>
      </c>
      <c r="O161" s="343"/>
      <c r="P161" s="363">
        <f t="shared" ca="1" si="76"/>
        <v>5</v>
      </c>
      <c r="Q161" s="357">
        <f t="shared" ca="1" si="77"/>
        <v>649.50999999999976</v>
      </c>
      <c r="R161" s="359">
        <f t="shared" ca="1" si="78"/>
        <v>0.32595880721153131</v>
      </c>
      <c r="S161" s="360">
        <f t="shared" ca="1" si="79"/>
        <v>9.091647524060301</v>
      </c>
      <c r="T161" s="357">
        <f t="shared" ca="1" si="59"/>
        <v>89.189062211031555</v>
      </c>
      <c r="U161" s="364">
        <f t="shared" ca="1" si="60"/>
        <v>0</v>
      </c>
      <c r="V161" s="359">
        <f t="shared" ca="1" si="61"/>
        <v>1.2144052749484946</v>
      </c>
      <c r="W161" s="357">
        <f t="shared" ca="1" si="62"/>
        <v>32.616464576540061</v>
      </c>
      <c r="X161" s="343"/>
      <c r="Y161" s="367" t="str">
        <f t="shared" ca="1" si="80"/>
        <v/>
      </c>
      <c r="Z161" s="368" t="str">
        <f t="shared" ca="1" si="81"/>
        <v/>
      </c>
      <c r="AA161" s="369" t="str">
        <f t="shared" ca="1" si="82"/>
        <v/>
      </c>
      <c r="AB161" s="344"/>
      <c r="AC161" s="363" t="e">
        <f t="shared" ca="1" si="83"/>
        <v>#N/A</v>
      </c>
      <c r="AD161" s="376" t="e">
        <f t="shared" ca="1" si="84"/>
        <v>#N/A</v>
      </c>
      <c r="AE161" s="377">
        <f t="shared" ca="1" si="63"/>
        <v>86.863180631018466</v>
      </c>
      <c r="AF161" s="344"/>
      <c r="AG161" s="359">
        <f t="shared" ca="1" si="85"/>
        <v>58.301673170446335</v>
      </c>
      <c r="AH161" s="357">
        <f t="shared" ca="1" si="86"/>
        <v>67.890700231262386</v>
      </c>
    </row>
    <row r="162" spans="1:34" x14ac:dyDescent="0.25">
      <c r="A162" s="402">
        <f t="shared" ca="1" si="64"/>
        <v>0.01</v>
      </c>
      <c r="B162" s="357">
        <f t="shared" ca="1" si="65"/>
        <v>1.5800000000000012</v>
      </c>
      <c r="C162" s="342"/>
      <c r="D162" s="359">
        <f t="shared" ca="1" si="66"/>
        <v>14.304299507739707</v>
      </c>
      <c r="E162" s="360">
        <f t="shared" ca="1" si="67"/>
        <v>56.378365507998041</v>
      </c>
      <c r="F162" s="357">
        <f t="shared" ca="1" si="68"/>
        <v>58.164706495954619</v>
      </c>
      <c r="G162" s="359">
        <f t="shared" ca="1" si="69"/>
        <v>23.153193261051591</v>
      </c>
      <c r="H162" s="360">
        <f t="shared" ca="1" si="70"/>
        <v>107.03556407146439</v>
      </c>
      <c r="I162" s="357">
        <f t="shared" ca="1" si="71"/>
        <v>109.51110598601478</v>
      </c>
      <c r="J162" s="359">
        <f t="shared" ca="1" si="72"/>
        <v>17.825255851262732</v>
      </c>
      <c r="K162" s="360">
        <f t="shared" ca="1" si="73"/>
        <v>87.930717353457709</v>
      </c>
      <c r="L162" s="357">
        <f t="shared" ca="1" si="58"/>
        <v>89.719288898523061</v>
      </c>
      <c r="M162" s="359">
        <f t="shared" ca="1" si="74"/>
        <v>1.357765434879642</v>
      </c>
      <c r="N162" s="357">
        <f t="shared" ca="1" si="75"/>
        <v>77.794228987348305</v>
      </c>
      <c r="O162" s="343"/>
      <c r="P162" s="363">
        <f t="shared" ca="1" si="76"/>
        <v>5</v>
      </c>
      <c r="Q162" s="357">
        <f t="shared" ca="1" si="77"/>
        <v>648.04999999999984</v>
      </c>
      <c r="R162" s="359">
        <f t="shared" ca="1" si="78"/>
        <v>0.32522610123544349</v>
      </c>
      <c r="S162" s="360">
        <f t="shared" ca="1" si="79"/>
        <v>9.0883952630479463</v>
      </c>
      <c r="T162" s="357">
        <f t="shared" ca="1" si="59"/>
        <v>89.157157530500356</v>
      </c>
      <c r="U162" s="364">
        <f t="shared" ca="1" si="60"/>
        <v>0</v>
      </c>
      <c r="V162" s="359">
        <f t="shared" ca="1" si="61"/>
        <v>1.2142756371700414</v>
      </c>
      <c r="W162" s="357">
        <f t="shared" ca="1" si="62"/>
        <v>32.961975294695726</v>
      </c>
      <c r="X162" s="343"/>
      <c r="Y162" s="367" t="str">
        <f t="shared" ca="1" si="80"/>
        <v/>
      </c>
      <c r="Z162" s="368" t="str">
        <f t="shared" ca="1" si="81"/>
        <v/>
      </c>
      <c r="AA162" s="369" t="str">
        <f t="shared" ca="1" si="82"/>
        <v/>
      </c>
      <c r="AB162" s="344"/>
      <c r="AC162" s="363" t="e">
        <f t="shared" ca="1" si="83"/>
        <v>#N/A</v>
      </c>
      <c r="AD162" s="376" t="e">
        <f t="shared" ca="1" si="84"/>
        <v>#N/A</v>
      </c>
      <c r="AE162" s="377">
        <f t="shared" ca="1" si="63"/>
        <v>87.930717353457709</v>
      </c>
      <c r="AF162" s="344"/>
      <c r="AG162" s="359">
        <f t="shared" ca="1" si="85"/>
        <v>58.127780548759475</v>
      </c>
      <c r="AH162" s="357">
        <f t="shared" ca="1" si="86"/>
        <v>67.716413911454794</v>
      </c>
    </row>
    <row r="163" spans="1:34" x14ac:dyDescent="0.25">
      <c r="A163" s="402">
        <f t="shared" ca="1" si="64"/>
        <v>0.01</v>
      </c>
      <c r="B163" s="357">
        <f t="shared" ca="1" si="65"/>
        <v>1.5900000000000012</v>
      </c>
      <c r="C163" s="342"/>
      <c r="D163" s="359">
        <f t="shared" ca="1" si="66"/>
        <v>14.27992083542509</v>
      </c>
      <c r="E163" s="360">
        <f t="shared" ca="1" si="67"/>
        <v>56.205057373825113</v>
      </c>
      <c r="F163" s="357">
        <f t="shared" ca="1" si="68"/>
        <v>57.990728685376773</v>
      </c>
      <c r="G163" s="359">
        <f t="shared" ca="1" si="69"/>
        <v>23.295992469405842</v>
      </c>
      <c r="H163" s="360">
        <f t="shared" ca="1" si="70"/>
        <v>107.59761464520264</v>
      </c>
      <c r="I163" s="357">
        <f t="shared" ca="1" si="71"/>
        <v>110.0906442095428</v>
      </c>
      <c r="J163" s="359">
        <f t="shared" ca="1" si="72"/>
        <v>18.057501779915018</v>
      </c>
      <c r="K163" s="360">
        <f t="shared" ca="1" si="73"/>
        <v>89.003883247041045</v>
      </c>
      <c r="L163" s="357">
        <f t="shared" ca="1" si="58"/>
        <v>90.817204336978733</v>
      </c>
      <c r="M163" s="359">
        <f t="shared" ca="1" si="74"/>
        <v>1.3575770390310247</v>
      </c>
      <c r="N163" s="357">
        <f t="shared" ca="1" si="75"/>
        <v>77.783434700344742</v>
      </c>
      <c r="O163" s="343"/>
      <c r="P163" s="363">
        <f t="shared" ca="1" si="76"/>
        <v>5</v>
      </c>
      <c r="Q163" s="357">
        <f t="shared" ca="1" si="77"/>
        <v>646.5899999999998</v>
      </c>
      <c r="R163" s="359">
        <f t="shared" ca="1" si="78"/>
        <v>0.32449339525935555</v>
      </c>
      <c r="S163" s="360">
        <f t="shared" ca="1" si="79"/>
        <v>9.0851503290953524</v>
      </c>
      <c r="T163" s="357">
        <f t="shared" ca="1" si="59"/>
        <v>89.125324728425412</v>
      </c>
      <c r="U163" s="364">
        <f t="shared" ca="1" si="60"/>
        <v>0</v>
      </c>
      <c r="V163" s="359">
        <f t="shared" ca="1" si="61"/>
        <v>1.2141453296926734</v>
      </c>
      <c r="W163" s="357">
        <f t="shared" ca="1" si="62"/>
        <v>33.308196464802755</v>
      </c>
      <c r="X163" s="343"/>
      <c r="Y163" s="367" t="str">
        <f t="shared" ca="1" si="80"/>
        <v/>
      </c>
      <c r="Z163" s="368" t="str">
        <f t="shared" ca="1" si="81"/>
        <v/>
      </c>
      <c r="AA163" s="369" t="str">
        <f t="shared" ca="1" si="82"/>
        <v/>
      </c>
      <c r="AB163" s="344"/>
      <c r="AC163" s="363" t="e">
        <f t="shared" ca="1" si="83"/>
        <v>#N/A</v>
      </c>
      <c r="AD163" s="376" t="e">
        <f t="shared" ca="1" si="84"/>
        <v>#N/A</v>
      </c>
      <c r="AE163" s="377">
        <f t="shared" ca="1" si="63"/>
        <v>89.003883247041045</v>
      </c>
      <c r="AF163" s="344"/>
      <c r="AG163" s="359">
        <f t="shared" ca="1" si="85"/>
        <v>57.953626980463497</v>
      </c>
      <c r="AH163" s="357">
        <f t="shared" ca="1" si="86"/>
        <v>67.541868045941911</v>
      </c>
    </row>
    <row r="164" spans="1:34" x14ac:dyDescent="0.25">
      <c r="A164" s="402">
        <f t="shared" ca="1" si="64"/>
        <v>0.01</v>
      </c>
      <c r="B164" s="357">
        <f t="shared" ca="1" si="65"/>
        <v>1.6000000000000012</v>
      </c>
      <c r="C164" s="342"/>
      <c r="D164" s="359">
        <f t="shared" ca="1" si="66"/>
        <v>14.255367903923881</v>
      </c>
      <c r="E164" s="360">
        <f t="shared" ca="1" si="67"/>
        <v>56.031521212987968</v>
      </c>
      <c r="F164" s="357">
        <f t="shared" ca="1" si="68"/>
        <v>57.81649317900338</v>
      </c>
      <c r="G164" s="359">
        <f t="shared" ca="1" si="69"/>
        <v>23.438546148445081</v>
      </c>
      <c r="H164" s="360">
        <f t="shared" ca="1" si="70"/>
        <v>108.15792985733252</v>
      </c>
      <c r="I164" s="357">
        <f t="shared" ca="1" si="71"/>
        <v>110.66843830368462</v>
      </c>
      <c r="J164" s="359">
        <f t="shared" ca="1" si="72"/>
        <v>18.291174473004272</v>
      </c>
      <c r="K164" s="360">
        <f t="shared" ca="1" si="73"/>
        <v>90.082660969553714</v>
      </c>
      <c r="L164" s="357">
        <f t="shared" ca="1" si="58"/>
        <v>91.920905516413612</v>
      </c>
      <c r="M164" s="359">
        <f t="shared" ca="1" si="74"/>
        <v>1.3573894635656267</v>
      </c>
      <c r="N164" s="357">
        <f t="shared" ca="1" si="75"/>
        <v>77.772687417837247</v>
      </c>
      <c r="O164" s="343"/>
      <c r="P164" s="363">
        <f t="shared" ca="1" si="76"/>
        <v>5</v>
      </c>
      <c r="Q164" s="357">
        <f t="shared" ca="1" si="77"/>
        <v>645.12999999999977</v>
      </c>
      <c r="R164" s="359">
        <f t="shared" ca="1" si="78"/>
        <v>0.32376068928326768</v>
      </c>
      <c r="S164" s="360">
        <f t="shared" ca="1" si="79"/>
        <v>9.0819127222025191</v>
      </c>
      <c r="T164" s="357">
        <f t="shared" ca="1" si="59"/>
        <v>89.09356380480672</v>
      </c>
      <c r="U164" s="364">
        <f t="shared" ca="1" si="60"/>
        <v>0</v>
      </c>
      <c r="V164" s="359">
        <f t="shared" ca="1" si="61"/>
        <v>1.2140143548386597</v>
      </c>
      <c r="W164" s="357">
        <f t="shared" ca="1" si="62"/>
        <v>33.655109099822376</v>
      </c>
      <c r="X164" s="343"/>
      <c r="Y164" s="367" t="str">
        <f t="shared" ca="1" si="80"/>
        <v/>
      </c>
      <c r="Z164" s="368" t="str">
        <f t="shared" ca="1" si="81"/>
        <v/>
      </c>
      <c r="AA164" s="369" t="str">
        <f t="shared" ca="1" si="82"/>
        <v/>
      </c>
      <c r="AB164" s="344"/>
      <c r="AC164" s="363" t="e">
        <f t="shared" ca="1" si="83"/>
        <v>#N/A</v>
      </c>
      <c r="AD164" s="376" t="e">
        <f t="shared" ca="1" si="84"/>
        <v>#N/A</v>
      </c>
      <c r="AE164" s="377">
        <f t="shared" ca="1" si="63"/>
        <v>90.082660969553714</v>
      </c>
      <c r="AF164" s="344"/>
      <c r="AG164" s="359">
        <f t="shared" ca="1" si="85"/>
        <v>57.779214723194634</v>
      </c>
      <c r="AH164" s="357">
        <f t="shared" ca="1" si="86"/>
        <v>67.367064873842978</v>
      </c>
    </row>
    <row r="165" spans="1:34" x14ac:dyDescent="0.25">
      <c r="A165" s="402">
        <f t="shared" ca="1" si="64"/>
        <v>0.01</v>
      </c>
      <c r="B165" s="357">
        <f t="shared" ca="1" si="65"/>
        <v>1.6100000000000012</v>
      </c>
      <c r="C165" s="342"/>
      <c r="D165" s="359">
        <f t="shared" ca="1" si="66"/>
        <v>14.23064219979009</v>
      </c>
      <c r="E165" s="360">
        <f t="shared" ca="1" si="67"/>
        <v>55.857759046215477</v>
      </c>
      <c r="F165" s="357">
        <f t="shared" ca="1" si="68"/>
        <v>57.642002247350099</v>
      </c>
      <c r="G165" s="359">
        <f t="shared" ca="1" si="69"/>
        <v>23.580852570442982</v>
      </c>
      <c r="H165" s="360">
        <f t="shared" ca="1" si="70"/>
        <v>108.71650744779467</v>
      </c>
      <c r="I165" s="357">
        <f t="shared" ca="1" si="71"/>
        <v>111.24448570421529</v>
      </c>
      <c r="J165" s="359">
        <f t="shared" ca="1" si="72"/>
        <v>18.526271466598711</v>
      </c>
      <c r="K165" s="360">
        <f t="shared" ca="1" si="73"/>
        <v>91.167033156079356</v>
      </c>
      <c r="L165" s="357">
        <f t="shared" ca="1" si="58"/>
        <v>93.030374980087998</v>
      </c>
      <c r="M165" s="359">
        <f t="shared" ca="1" si="74"/>
        <v>1.3572026977427956</v>
      </c>
      <c r="N165" s="357">
        <f t="shared" ca="1" si="75"/>
        <v>77.76198652443172</v>
      </c>
      <c r="O165" s="343"/>
      <c r="P165" s="363">
        <f t="shared" ca="1" si="76"/>
        <v>5</v>
      </c>
      <c r="Q165" s="357">
        <f t="shared" ca="1" si="77"/>
        <v>643.66999999999985</v>
      </c>
      <c r="R165" s="359">
        <f t="shared" ca="1" si="78"/>
        <v>0.32302798330717986</v>
      </c>
      <c r="S165" s="360">
        <f t="shared" ca="1" si="79"/>
        <v>9.0786824423694465</v>
      </c>
      <c r="T165" s="357">
        <f t="shared" ca="1" si="59"/>
        <v>89.061874759644269</v>
      </c>
      <c r="U165" s="364">
        <f t="shared" ca="1" si="60"/>
        <v>0</v>
      </c>
      <c r="V165" s="359">
        <f t="shared" ca="1" si="61"/>
        <v>1.213882714933195</v>
      </c>
      <c r="W165" s="357">
        <f t="shared" ca="1" si="62"/>
        <v>34.002694251773384</v>
      </c>
      <c r="X165" s="343"/>
      <c r="Y165" s="367" t="str">
        <f t="shared" ca="1" si="80"/>
        <v/>
      </c>
      <c r="Z165" s="368" t="str">
        <f t="shared" ca="1" si="81"/>
        <v/>
      </c>
      <c r="AA165" s="369" t="str">
        <f t="shared" ca="1" si="82"/>
        <v/>
      </c>
      <c r="AB165" s="344"/>
      <c r="AC165" s="363" t="e">
        <f t="shared" ca="1" si="83"/>
        <v>#N/A</v>
      </c>
      <c r="AD165" s="376" t="e">
        <f t="shared" ca="1" si="84"/>
        <v>#N/A</v>
      </c>
      <c r="AE165" s="377">
        <f t="shared" ca="1" si="63"/>
        <v>91.167033156079356</v>
      </c>
      <c r="AF165" s="344"/>
      <c r="AG165" s="359">
        <f t="shared" ca="1" si="85"/>
        <v>57.604546034493858</v>
      </c>
      <c r="AH165" s="357">
        <f t="shared" ca="1" si="86"/>
        <v>67.192006634496792</v>
      </c>
    </row>
    <row r="166" spans="1:34" x14ac:dyDescent="0.25">
      <c r="A166" s="402">
        <f t="shared" ca="1" si="64"/>
        <v>0.01</v>
      </c>
      <c r="B166" s="357">
        <f t="shared" ca="1" si="65"/>
        <v>1.6200000000000012</v>
      </c>
      <c r="C166" s="342"/>
      <c r="D166" s="359">
        <f t="shared" ca="1" si="66"/>
        <v>14.20574519202828</v>
      </c>
      <c r="E166" s="360">
        <f t="shared" ca="1" si="67"/>
        <v>55.68377289718596</v>
      </c>
      <c r="F166" s="357">
        <f t="shared" ca="1" si="68"/>
        <v>57.467258160853788</v>
      </c>
      <c r="G166" s="359">
        <f t="shared" ca="1" si="69"/>
        <v>23.722910022363266</v>
      </c>
      <c r="H166" s="360">
        <f t="shared" ca="1" si="70"/>
        <v>109.27334517676653</v>
      </c>
      <c r="I166" s="357">
        <f t="shared" ca="1" si="71"/>
        <v>111.81878386948192</v>
      </c>
      <c r="J166" s="359">
        <f t="shared" ca="1" si="72"/>
        <v>18.762790279562743</v>
      </c>
      <c r="K166" s="360">
        <f t="shared" ca="1" si="73"/>
        <v>92.25698241920216</v>
      </c>
      <c r="L166" s="357">
        <f t="shared" ca="1" si="58"/>
        <v>94.145595245724749</v>
      </c>
      <c r="M166" s="359">
        <f t="shared" ca="1" si="74"/>
        <v>1.3570167310122994</v>
      </c>
      <c r="N166" s="357">
        <f t="shared" ca="1" si="75"/>
        <v>77.751331415644444</v>
      </c>
      <c r="O166" s="343"/>
      <c r="P166" s="363">
        <f t="shared" ca="1" si="76"/>
        <v>5</v>
      </c>
      <c r="Q166" s="357">
        <f t="shared" ca="1" si="77"/>
        <v>642.20999999999981</v>
      </c>
      <c r="R166" s="359">
        <f t="shared" ca="1" si="78"/>
        <v>0.32229527733109198</v>
      </c>
      <c r="S166" s="360">
        <f t="shared" ca="1" si="79"/>
        <v>9.0754594895961365</v>
      </c>
      <c r="T166" s="357">
        <f t="shared" ca="1" si="59"/>
        <v>89.030257592938099</v>
      </c>
      <c r="U166" s="364">
        <f t="shared" ca="1" si="60"/>
        <v>0</v>
      </c>
      <c r="V166" s="359">
        <f t="shared" ca="1" si="61"/>
        <v>1.2137504123043605</v>
      </c>
      <c r="W166" s="357">
        <f t="shared" ca="1" si="62"/>
        <v>34.350933012436244</v>
      </c>
      <c r="X166" s="343"/>
      <c r="Y166" s="367" t="str">
        <f t="shared" ca="1" si="80"/>
        <v/>
      </c>
      <c r="Z166" s="368" t="str">
        <f t="shared" ca="1" si="81"/>
        <v/>
      </c>
      <c r="AA166" s="369" t="str">
        <f t="shared" ca="1" si="82"/>
        <v/>
      </c>
      <c r="AB166" s="344"/>
      <c r="AC166" s="363" t="e">
        <f t="shared" ca="1" si="83"/>
        <v>#N/A</v>
      </c>
      <c r="AD166" s="376" t="e">
        <f t="shared" ca="1" si="84"/>
        <v>#N/A</v>
      </c>
      <c r="AE166" s="377">
        <f t="shared" ca="1" si="63"/>
        <v>92.25698241920216</v>
      </c>
      <c r="AF166" s="344"/>
      <c r="AG166" s="359">
        <f t="shared" ca="1" si="85"/>
        <v>57.429623171718603</v>
      </c>
      <c r="AH166" s="357">
        <f t="shared" ca="1" si="86"/>
        <v>67.016695567365929</v>
      </c>
    </row>
    <row r="167" spans="1:34" x14ac:dyDescent="0.25">
      <c r="A167" s="402">
        <f t="shared" ca="1" si="64"/>
        <v>0.01</v>
      </c>
      <c r="B167" s="357">
        <f t="shared" ca="1" si="65"/>
        <v>1.6300000000000012</v>
      </c>
      <c r="C167" s="342"/>
      <c r="D167" s="359">
        <f t="shared" ca="1" si="66"/>
        <v>14.180678332511215</v>
      </c>
      <c r="E167" s="360">
        <f t="shared" ca="1" si="67"/>
        <v>55.509564792364557</v>
      </c>
      <c r="F167" s="357">
        <f t="shared" ca="1" si="68"/>
        <v>57.292263189787434</v>
      </c>
      <c r="G167" s="359">
        <f t="shared" ca="1" si="69"/>
        <v>23.864716805688378</v>
      </c>
      <c r="H167" s="360">
        <f t="shared" ca="1" si="70"/>
        <v>109.82844082469018</v>
      </c>
      <c r="I167" s="357">
        <f t="shared" ca="1" si="71"/>
        <v>112.39133028040098</v>
      </c>
      <c r="J167" s="359">
        <f t="shared" ca="1" si="72"/>
        <v>19.000728413703001</v>
      </c>
      <c r="K167" s="360">
        <f t="shared" ca="1" si="73"/>
        <v>93.352491349209444</v>
      </c>
      <c r="L167" s="357">
        <f t="shared" ca="1" si="58"/>
        <v>95.266548805735184</v>
      </c>
      <c r="M167" s="359">
        <f t="shared" ca="1" si="74"/>
        <v>1.3568315530097184</v>
      </c>
      <c r="N167" s="357">
        <f t="shared" ca="1" si="75"/>
        <v>77.740721497637892</v>
      </c>
      <c r="O167" s="343"/>
      <c r="P167" s="363">
        <f t="shared" ca="1" si="76"/>
        <v>5</v>
      </c>
      <c r="Q167" s="357">
        <f t="shared" ca="1" si="77"/>
        <v>640.74999999999977</v>
      </c>
      <c r="R167" s="359">
        <f t="shared" ca="1" si="78"/>
        <v>0.32156257135500405</v>
      </c>
      <c r="S167" s="360">
        <f t="shared" ca="1" si="79"/>
        <v>9.0722438638825871</v>
      </c>
      <c r="T167" s="357">
        <f t="shared" ca="1" si="59"/>
        <v>88.998712304688183</v>
      </c>
      <c r="U167" s="364">
        <f t="shared" ca="1" si="60"/>
        <v>0</v>
      </c>
      <c r="V167" s="359">
        <f t="shared" ca="1" si="61"/>
        <v>1.2136174492830885</v>
      </c>
      <c r="W167" s="357">
        <f t="shared" ca="1" si="62"/>
        <v>34.699806514052447</v>
      </c>
      <c r="X167" s="343"/>
      <c r="Y167" s="367" t="str">
        <f t="shared" ca="1" si="80"/>
        <v/>
      </c>
      <c r="Z167" s="368" t="str">
        <f t="shared" ca="1" si="81"/>
        <v/>
      </c>
      <c r="AA167" s="369" t="str">
        <f t="shared" ca="1" si="82"/>
        <v/>
      </c>
      <c r="AB167" s="344"/>
      <c r="AC167" s="363" t="e">
        <f t="shared" ca="1" si="83"/>
        <v>#N/A</v>
      </c>
      <c r="AD167" s="376" t="e">
        <f t="shared" ca="1" si="84"/>
        <v>#N/A</v>
      </c>
      <c r="AE167" s="377">
        <f t="shared" ca="1" si="63"/>
        <v>93.352491349209444</v>
      </c>
      <c r="AF167" s="344"/>
      <c r="AG167" s="359">
        <f t="shared" ca="1" si="85"/>
        <v>57.254448391954611</v>
      </c>
      <c r="AH167" s="357">
        <f t="shared" ca="1" si="86"/>
        <v>66.84113391194127</v>
      </c>
    </row>
    <row r="168" spans="1:34" x14ac:dyDescent="0.25">
      <c r="A168" s="402">
        <f t="shared" ca="1" si="64"/>
        <v>0.01</v>
      </c>
      <c r="B168" s="357">
        <f t="shared" ca="1" si="65"/>
        <v>1.6400000000000012</v>
      </c>
      <c r="C168" s="342"/>
      <c r="D168" s="359">
        <f t="shared" ca="1" si="66"/>
        <v>14.155443056384154</v>
      </c>
      <c r="E168" s="360">
        <f t="shared" ca="1" si="67"/>
        <v>55.335136760843042</v>
      </c>
      <c r="F168" s="357">
        <f t="shared" ca="1" si="68"/>
        <v>57.117019604175233</v>
      </c>
      <c r="G168" s="359">
        <f t="shared" ca="1" si="69"/>
        <v>24.006271236252218</v>
      </c>
      <c r="H168" s="360">
        <f t="shared" ca="1" si="70"/>
        <v>110.3817921922986</v>
      </c>
      <c r="I168" s="357">
        <f t="shared" ca="1" si="71"/>
        <v>112.96212244045481</v>
      </c>
      <c r="J168" s="359">
        <f t="shared" ca="1" si="72"/>
        <v>19.240083353912706</v>
      </c>
      <c r="K168" s="360">
        <f t="shared" ca="1" si="73"/>
        <v>94.453542514294384</v>
      </c>
      <c r="L168" s="357">
        <f t="shared" ca="1" si="58"/>
        <v>96.393218127444655</v>
      </c>
      <c r="M168" s="359">
        <f t="shared" ca="1" si="74"/>
        <v>1.356647153551974</v>
      </c>
      <c r="N168" s="357">
        <f t="shared" ca="1" si="75"/>
        <v>77.730156186964635</v>
      </c>
      <c r="O168" s="343"/>
      <c r="P168" s="363">
        <f t="shared" ca="1" si="76"/>
        <v>5</v>
      </c>
      <c r="Q168" s="357">
        <f t="shared" ca="1" si="77"/>
        <v>639.28999999999985</v>
      </c>
      <c r="R168" s="359">
        <f t="shared" ca="1" si="78"/>
        <v>0.32082986537891622</v>
      </c>
      <c r="S168" s="360">
        <f t="shared" ca="1" si="79"/>
        <v>9.0690355652287984</v>
      </c>
      <c r="T168" s="357">
        <f t="shared" ca="1" si="59"/>
        <v>88.967238894894521</v>
      </c>
      <c r="U168" s="364">
        <f t="shared" ca="1" si="60"/>
        <v>0</v>
      </c>
      <c r="V168" s="359">
        <f t="shared" ca="1" si="61"/>
        <v>1.2134838282031202</v>
      </c>
      <c r="W168" s="357">
        <f t="shared" ca="1" si="62"/>
        <v>35.049295930018928</v>
      </c>
      <c r="X168" s="343"/>
      <c r="Y168" s="367" t="str">
        <f t="shared" ca="1" si="80"/>
        <v/>
      </c>
      <c r="Z168" s="368" t="str">
        <f t="shared" ca="1" si="81"/>
        <v/>
      </c>
      <c r="AA168" s="369" t="str">
        <f t="shared" ca="1" si="82"/>
        <v/>
      </c>
      <c r="AB168" s="344"/>
      <c r="AC168" s="363" t="e">
        <f t="shared" ca="1" si="83"/>
        <v>#N/A</v>
      </c>
      <c r="AD168" s="376" t="e">
        <f t="shared" ca="1" si="84"/>
        <v>#N/A</v>
      </c>
      <c r="AE168" s="377">
        <f t="shared" ca="1" si="63"/>
        <v>94.453542514294384</v>
      </c>
      <c r="AF168" s="344"/>
      <c r="AG168" s="359">
        <f t="shared" ca="1" si="85"/>
        <v>57.07902395192788</v>
      </c>
      <c r="AH168" s="357">
        <f t="shared" ca="1" si="86"/>
        <v>66.665323907646908</v>
      </c>
    </row>
    <row r="169" spans="1:34" x14ac:dyDescent="0.25">
      <c r="A169" s="402">
        <f t="shared" ca="1" si="64"/>
        <v>0.01</v>
      </c>
      <c r="B169" s="357">
        <f t="shared" ca="1" si="65"/>
        <v>1.6500000000000012</v>
      </c>
      <c r="C169" s="342"/>
      <c r="D169" s="359">
        <f t="shared" ca="1" si="66"/>
        <v>14.130040782456357</v>
      </c>
      <c r="E169" s="360">
        <f t="shared" ca="1" si="67"/>
        <v>55.160490834181601</v>
      </c>
      <c r="F169" s="357">
        <f t="shared" ca="1" si="68"/>
        <v>56.9415296737075</v>
      </c>
      <c r="G169" s="359">
        <f t="shared" ca="1" si="69"/>
        <v>24.14757164407678</v>
      </c>
      <c r="H169" s="360">
        <f t="shared" ca="1" si="70"/>
        <v>110.93339710064042</v>
      </c>
      <c r="I169" s="357">
        <f t="shared" ca="1" si="71"/>
        <v>113.53115787568714</v>
      </c>
      <c r="J169" s="359">
        <f t="shared" ca="1" si="72"/>
        <v>19.480852568314351</v>
      </c>
      <c r="K169" s="360">
        <f t="shared" ca="1" si="73"/>
        <v>95.560118460759085</v>
      </c>
      <c r="L169" s="357">
        <f t="shared" ca="1" si="58"/>
        <v>97.525585653318217</v>
      </c>
      <c r="M169" s="359">
        <f t="shared" ca="1" si="74"/>
        <v>1.3564635226329931</v>
      </c>
      <c r="N169" s="357">
        <f t="shared" ca="1" si="75"/>
        <v>77.719634910318931</v>
      </c>
      <c r="O169" s="343"/>
      <c r="P169" s="363">
        <f t="shared" ca="1" si="76"/>
        <v>5</v>
      </c>
      <c r="Q169" s="357">
        <f t="shared" ca="1" si="77"/>
        <v>637.82999999999981</v>
      </c>
      <c r="R169" s="359">
        <f t="shared" ca="1" si="78"/>
        <v>0.32009715940282835</v>
      </c>
      <c r="S169" s="360">
        <f t="shared" ca="1" si="79"/>
        <v>9.0658345936347704</v>
      </c>
      <c r="T169" s="357">
        <f t="shared" ca="1" si="59"/>
        <v>88.935837363557098</v>
      </c>
      <c r="U169" s="364">
        <f t="shared" ca="1" si="60"/>
        <v>0</v>
      </c>
      <c r="V169" s="359">
        <f t="shared" ca="1" si="61"/>
        <v>1.2133495514009693</v>
      </c>
      <c r="W169" s="357">
        <f t="shared" ca="1" si="62"/>
        <v>35.399382475577575</v>
      </c>
      <c r="X169" s="343"/>
      <c r="Y169" s="367" t="str">
        <f t="shared" ca="1" si="80"/>
        <v/>
      </c>
      <c r="Z169" s="368" t="str">
        <f t="shared" ca="1" si="81"/>
        <v/>
      </c>
      <c r="AA169" s="369" t="str">
        <f t="shared" ca="1" si="82"/>
        <v/>
      </c>
      <c r="AB169" s="344"/>
      <c r="AC169" s="363" t="e">
        <f t="shared" ca="1" si="83"/>
        <v>#N/A</v>
      </c>
      <c r="AD169" s="376" t="e">
        <f t="shared" ca="1" si="84"/>
        <v>#N/A</v>
      </c>
      <c r="AE169" s="377">
        <f t="shared" ca="1" si="63"/>
        <v>95.560118460759085</v>
      </c>
      <c r="AF169" s="344"/>
      <c r="AG169" s="359">
        <f t="shared" ca="1" si="85"/>
        <v>56.903352107916518</v>
      </c>
      <c r="AH169" s="357">
        <f t="shared" ca="1" si="86"/>
        <v>66.489267793745142</v>
      </c>
    </row>
    <row r="170" spans="1:34" x14ac:dyDescent="0.25">
      <c r="A170" s="402">
        <f t="shared" ca="1" si="64"/>
        <v>0.01</v>
      </c>
      <c r="B170" s="357">
        <f t="shared" ca="1" si="65"/>
        <v>1.6600000000000013</v>
      </c>
      <c r="C170" s="342"/>
      <c r="D170" s="359">
        <f t="shared" ca="1" si="66"/>
        <v>14.104472913580262</v>
      </c>
      <c r="E170" s="360">
        <f t="shared" ca="1" si="67"/>
        <v>54.985629046253408</v>
      </c>
      <c r="F170" s="357">
        <f t="shared" ca="1" si="68"/>
        <v>56.765795667656292</v>
      </c>
      <c r="G170" s="359">
        <f t="shared" ca="1" si="69"/>
        <v>24.288616373212584</v>
      </c>
      <c r="H170" s="360">
        <f t="shared" ca="1" si="70"/>
        <v>111.48325339110295</v>
      </c>
      <c r="I170" s="357">
        <f t="shared" ca="1" si="71"/>
        <v>114.09843413469774</v>
      </c>
      <c r="J170" s="359">
        <f t="shared" ca="1" si="72"/>
        <v>19.723033508400796</v>
      </c>
      <c r="K170" s="360">
        <f t="shared" ca="1" si="73"/>
        <v>96.672201713217802</v>
      </c>
      <c r="L170" s="357">
        <f t="shared" ca="1" si="58"/>
        <v>98.663633801186194</v>
      </c>
      <c r="M170" s="359">
        <f t="shared" ca="1" si="74"/>
        <v>1.3562806504195</v>
      </c>
      <c r="N170" s="357">
        <f t="shared" ca="1" si="75"/>
        <v>77.709157104295556</v>
      </c>
      <c r="O170" s="343"/>
      <c r="P170" s="363">
        <f t="shared" ca="1" si="76"/>
        <v>5</v>
      </c>
      <c r="Q170" s="357">
        <f t="shared" ca="1" si="77"/>
        <v>636.36999999999978</v>
      </c>
      <c r="R170" s="359">
        <f t="shared" ca="1" si="78"/>
        <v>0.31936445342674041</v>
      </c>
      <c r="S170" s="360">
        <f t="shared" ca="1" si="79"/>
        <v>9.0626409491005031</v>
      </c>
      <c r="T170" s="357">
        <f t="shared" ca="1" si="59"/>
        <v>88.904507710675944</v>
      </c>
      <c r="U170" s="364">
        <f t="shared" ca="1" si="60"/>
        <v>0</v>
      </c>
      <c r="V170" s="359">
        <f t="shared" ca="1" si="61"/>
        <v>1.2132146212158854</v>
      </c>
      <c r="W170" s="357">
        <f t="shared" ca="1" si="62"/>
        <v>35.75004740849981</v>
      </c>
      <c r="X170" s="343"/>
      <c r="Y170" s="367" t="str">
        <f t="shared" ca="1" si="80"/>
        <v/>
      </c>
      <c r="Z170" s="368" t="str">
        <f t="shared" ca="1" si="81"/>
        <v/>
      </c>
      <c r="AA170" s="369" t="str">
        <f t="shared" ca="1" si="82"/>
        <v/>
      </c>
      <c r="AB170" s="344"/>
      <c r="AC170" s="363" t="e">
        <f t="shared" ca="1" si="83"/>
        <v>#N/A</v>
      </c>
      <c r="AD170" s="376" t="e">
        <f t="shared" ca="1" si="84"/>
        <v>#N/A</v>
      </c>
      <c r="AE170" s="377">
        <f t="shared" ca="1" si="63"/>
        <v>96.672201713217802</v>
      </c>
      <c r="AF170" s="344"/>
      <c r="AG170" s="359">
        <f t="shared" ca="1" si="85"/>
        <v>56.727435115663198</v>
      </c>
      <c r="AH170" s="357">
        <f t="shared" ca="1" si="86"/>
        <v>66.312967809242238</v>
      </c>
    </row>
    <row r="171" spans="1:34" x14ac:dyDescent="0.25">
      <c r="A171" s="402">
        <f t="shared" ca="1" si="64"/>
        <v>0.01</v>
      </c>
      <c r="B171" s="357">
        <f t="shared" ca="1" si="65"/>
        <v>1.6700000000000013</v>
      </c>
      <c r="C171" s="342"/>
      <c r="D171" s="359">
        <f t="shared" ca="1" si="66"/>
        <v>14.078740837018785</v>
      </c>
      <c r="E171" s="360">
        <f t="shared" ca="1" si="67"/>
        <v>54.810553433091016</v>
      </c>
      <c r="F171" s="357">
        <f t="shared" ca="1" si="68"/>
        <v>56.589819854790719</v>
      </c>
      <c r="G171" s="359">
        <f t="shared" ca="1" si="69"/>
        <v>24.429403781582771</v>
      </c>
      <c r="H171" s="360">
        <f t="shared" ca="1" si="70"/>
        <v>112.03135892543386</v>
      </c>
      <c r="I171" s="357">
        <f t="shared" ca="1" si="71"/>
        <v>114.66394878863626</v>
      </c>
      <c r="J171" s="359">
        <f t="shared" ca="1" si="72"/>
        <v>19.966623609174771</v>
      </c>
      <c r="K171" s="360">
        <f t="shared" ca="1" si="73"/>
        <v>97.789774774800492</v>
      </c>
      <c r="L171" s="357">
        <f t="shared" ca="1" si="58"/>
        <v>99.807344964469735</v>
      </c>
      <c r="M171" s="359">
        <f t="shared" ca="1" si="74"/>
        <v>1.3560985272469348</v>
      </c>
      <c r="N171" s="357">
        <f t="shared" ca="1" si="75"/>
        <v>77.698722215156039</v>
      </c>
      <c r="O171" s="343"/>
      <c r="P171" s="363">
        <f t="shared" ca="1" si="76"/>
        <v>5</v>
      </c>
      <c r="Q171" s="357">
        <f t="shared" ca="1" si="77"/>
        <v>634.90999999999985</v>
      </c>
      <c r="R171" s="359">
        <f t="shared" ca="1" si="78"/>
        <v>0.31863174745065259</v>
      </c>
      <c r="S171" s="360">
        <f t="shared" ca="1" si="79"/>
        <v>9.0594546316259965</v>
      </c>
      <c r="T171" s="357">
        <f t="shared" ca="1" si="59"/>
        <v>88.873249936251028</v>
      </c>
      <c r="U171" s="364">
        <f t="shared" ca="1" si="60"/>
        <v>0</v>
      </c>
      <c r="V171" s="359">
        <f t="shared" ca="1" si="61"/>
        <v>1.2130790399898121</v>
      </c>
      <c r="W171" s="357">
        <f t="shared" ca="1" si="62"/>
        <v>36.101272029766108</v>
      </c>
      <c r="X171" s="343"/>
      <c r="Y171" s="367" t="str">
        <f t="shared" ca="1" si="80"/>
        <v/>
      </c>
      <c r="Z171" s="368" t="str">
        <f t="shared" ca="1" si="81"/>
        <v/>
      </c>
      <c r="AA171" s="369" t="str">
        <f t="shared" ca="1" si="82"/>
        <v/>
      </c>
      <c r="AB171" s="344"/>
      <c r="AC171" s="363" t="e">
        <f t="shared" ca="1" si="83"/>
        <v>#N/A</v>
      </c>
      <c r="AD171" s="376" t="e">
        <f t="shared" ca="1" si="84"/>
        <v>#N/A</v>
      </c>
      <c r="AE171" s="377">
        <f t="shared" ca="1" si="63"/>
        <v>97.789774774800492</v>
      </c>
      <c r="AF171" s="344"/>
      <c r="AG171" s="359">
        <f t="shared" ca="1" si="85"/>
        <v>56.551275230287345</v>
      </c>
      <c r="AH171" s="357">
        <f t="shared" ca="1" si="86"/>
        <v>66.136426192794175</v>
      </c>
    </row>
    <row r="172" spans="1:34" x14ac:dyDescent="0.25">
      <c r="A172" s="402">
        <f t="shared" ca="1" si="64"/>
        <v>0.01</v>
      </c>
      <c r="B172" s="357">
        <f t="shared" ca="1" si="65"/>
        <v>1.6800000000000013</v>
      </c>
      <c r="C172" s="342"/>
      <c r="D172" s="359">
        <f t="shared" ca="1" si="66"/>
        <v>14.052845924801019</v>
      </c>
      <c r="E172" s="360">
        <f t="shared" ca="1" si="67"/>
        <v>54.635266032734975</v>
      </c>
      <c r="F172" s="357">
        <f t="shared" ca="1" si="68"/>
        <v>56.413604503292646</v>
      </c>
      <c r="G172" s="359">
        <f t="shared" ca="1" si="69"/>
        <v>24.569932240830781</v>
      </c>
      <c r="H172" s="360">
        <f t="shared" ca="1" si="70"/>
        <v>112.57771158576121</v>
      </c>
      <c r="I172" s="357">
        <f t="shared" ca="1" si="71"/>
        <v>115.22769943119513</v>
      </c>
      <c r="J172" s="359">
        <f t="shared" ca="1" si="72"/>
        <v>20.211620289286838</v>
      </c>
      <c r="K172" s="360">
        <f t="shared" ca="1" si="73"/>
        <v>98.912820127356468</v>
      </c>
      <c r="L172" s="357">
        <f t="shared" ca="1" si="58"/>
        <v>100.95670151240623</v>
      </c>
      <c r="M172" s="359">
        <f t="shared" ca="1" si="74"/>
        <v>1.3559171436154887</v>
      </c>
      <c r="N172" s="357">
        <f t="shared" ca="1" si="75"/>
        <v>77.688329698601422</v>
      </c>
      <c r="O172" s="343"/>
      <c r="P172" s="363">
        <f t="shared" ca="1" si="76"/>
        <v>5</v>
      </c>
      <c r="Q172" s="357">
        <f t="shared" ca="1" si="77"/>
        <v>633.44999999999982</v>
      </c>
      <c r="R172" s="359">
        <f t="shared" ca="1" si="78"/>
        <v>0.31789904147456471</v>
      </c>
      <c r="S172" s="360">
        <f t="shared" ca="1" si="79"/>
        <v>9.0562756412112506</v>
      </c>
      <c r="T172" s="357">
        <f t="shared" ca="1" si="59"/>
        <v>88.842064040282366</v>
      </c>
      <c r="U172" s="364">
        <f t="shared" ca="1" si="60"/>
        <v>0</v>
      </c>
      <c r="V172" s="359">
        <f t="shared" ca="1" si="61"/>
        <v>1.2129428100673514</v>
      </c>
      <c r="W172" s="357">
        <f t="shared" ca="1" si="62"/>
        <v>36.453037684240591</v>
      </c>
      <c r="X172" s="343"/>
      <c r="Y172" s="367" t="str">
        <f t="shared" ca="1" si="80"/>
        <v/>
      </c>
      <c r="Z172" s="368" t="str">
        <f t="shared" ca="1" si="81"/>
        <v/>
      </c>
      <c r="AA172" s="369" t="str">
        <f t="shared" ca="1" si="82"/>
        <v/>
      </c>
      <c r="AB172" s="344"/>
      <c r="AC172" s="363" t="e">
        <f t="shared" ca="1" si="83"/>
        <v>#N/A</v>
      </c>
      <c r="AD172" s="376" t="e">
        <f t="shared" ca="1" si="84"/>
        <v>#N/A</v>
      </c>
      <c r="AE172" s="377">
        <f t="shared" ca="1" si="63"/>
        <v>98.912820127356468</v>
      </c>
      <c r="AF172" s="344"/>
      <c r="AG172" s="359">
        <f t="shared" ca="1" si="85"/>
        <v>56.374874706197637</v>
      </c>
      <c r="AH172" s="357">
        <f t="shared" ca="1" si="86"/>
        <v>65.959645182612846</v>
      </c>
    </row>
    <row r="173" spans="1:34" x14ac:dyDescent="0.25">
      <c r="A173" s="402">
        <f t="shared" ca="1" si="64"/>
        <v>0.01</v>
      </c>
      <c r="B173" s="357">
        <f t="shared" ca="1" si="65"/>
        <v>1.6900000000000013</v>
      </c>
      <c r="C173" s="342"/>
      <c r="D173" s="359">
        <f t="shared" ca="1" si="66"/>
        <v>14.026789534067149</v>
      </c>
      <c r="E173" s="360">
        <f t="shared" ca="1" si="67"/>
        <v>54.459768885084685</v>
      </c>
      <c r="F173" s="357">
        <f t="shared" ca="1" si="68"/>
        <v>56.237151880672741</v>
      </c>
      <c r="G173" s="359">
        <f t="shared" ca="1" si="69"/>
        <v>24.710200136171451</v>
      </c>
      <c r="H173" s="360">
        <f t="shared" ca="1" si="70"/>
        <v>113.12230927461205</v>
      </c>
      <c r="I173" s="357">
        <f t="shared" ca="1" si="71"/>
        <v>115.78968367860163</v>
      </c>
      <c r="J173" s="359">
        <f t="shared" ca="1" si="72"/>
        <v>20.45802095117185</v>
      </c>
      <c r="K173" s="360">
        <f t="shared" ca="1" si="73"/>
        <v>100.04132023165833</v>
      </c>
      <c r="L173" s="357">
        <f t="shared" ca="1" si="58"/>
        <v>102.11168579027475</v>
      </c>
      <c r="M173" s="359">
        <f t="shared" ca="1" si="74"/>
        <v>1.3557364901862583</v>
      </c>
      <c r="N173" s="357">
        <f t="shared" ca="1" si="75"/>
        <v>77.677979019551955</v>
      </c>
      <c r="O173" s="343"/>
      <c r="P173" s="363">
        <f t="shared" ca="1" si="76"/>
        <v>5</v>
      </c>
      <c r="Q173" s="357">
        <f t="shared" ca="1" si="77"/>
        <v>631.98999999999978</v>
      </c>
      <c r="R173" s="359">
        <f t="shared" ca="1" si="78"/>
        <v>0.31716633549847684</v>
      </c>
      <c r="S173" s="360">
        <f t="shared" ca="1" si="79"/>
        <v>9.0531039778562654</v>
      </c>
      <c r="T173" s="357">
        <f t="shared" ca="1" si="59"/>
        <v>88.810950022769973</v>
      </c>
      <c r="U173" s="364">
        <f t="shared" ca="1" si="60"/>
        <v>0</v>
      </c>
      <c r="V173" s="359">
        <f t="shared" ca="1" si="61"/>
        <v>1.2128059337957251</v>
      </c>
      <c r="W173" s="357">
        <f t="shared" ca="1" si="62"/>
        <v>36.805325761340519</v>
      </c>
      <c r="X173" s="343"/>
      <c r="Y173" s="367" t="str">
        <f t="shared" ca="1" si="80"/>
        <v/>
      </c>
      <c r="Z173" s="368" t="str">
        <f t="shared" ca="1" si="81"/>
        <v/>
      </c>
      <c r="AA173" s="369" t="str">
        <f t="shared" ca="1" si="82"/>
        <v/>
      </c>
      <c r="AB173" s="344"/>
      <c r="AC173" s="363" t="e">
        <f t="shared" ca="1" si="83"/>
        <v>#N/A</v>
      </c>
      <c r="AD173" s="376" t="e">
        <f t="shared" ca="1" si="84"/>
        <v>#N/A</v>
      </c>
      <c r="AE173" s="377">
        <f t="shared" ca="1" si="63"/>
        <v>100.04132023165833</v>
      </c>
      <c r="AF173" s="344"/>
      <c r="AG173" s="359">
        <f t="shared" ca="1" si="85"/>
        <v>56.198235797004799</v>
      </c>
      <c r="AH173" s="357">
        <f t="shared" ca="1" si="86"/>
        <v>65.782627016372757</v>
      </c>
    </row>
    <row r="174" spans="1:34" x14ac:dyDescent="0.25">
      <c r="A174" s="402">
        <f t="shared" ca="1" si="64"/>
        <v>0.01</v>
      </c>
      <c r="B174" s="357">
        <f t="shared" ca="1" si="65"/>
        <v>1.7000000000000013</v>
      </c>
      <c r="C174" s="342"/>
      <c r="D174" s="359">
        <f t="shared" ca="1" si="66"/>
        <v>14.000573007402368</v>
      </c>
      <c r="E174" s="360">
        <f t="shared" ca="1" si="67"/>
        <v>54.284064031751015</v>
      </c>
      <c r="F174" s="357">
        <f t="shared" ca="1" si="68"/>
        <v>56.060464253686376</v>
      </c>
      <c r="G174" s="359">
        <f t="shared" ca="1" si="69"/>
        <v>24.850205866245474</v>
      </c>
      <c r="H174" s="360">
        <f t="shared" ca="1" si="70"/>
        <v>113.66514991492956</v>
      </c>
      <c r="I174" s="357">
        <f t="shared" ca="1" si="71"/>
        <v>116.34989916960905</v>
      </c>
      <c r="J174" s="359">
        <f t="shared" ca="1" si="72"/>
        <v>20.705822981183935</v>
      </c>
      <c r="K174" s="360">
        <f t="shared" ca="1" si="73"/>
        <v>101.17525752760604</v>
      </c>
      <c r="L174" s="357">
        <f t="shared" ca="1" si="58"/>
        <v>103.27228011962129</v>
      </c>
      <c r="M174" s="359">
        <f t="shared" ca="1" si="74"/>
        <v>1.3555565577775102</v>
      </c>
      <c r="N174" s="357">
        <f t="shared" ca="1" si="75"/>
        <v>77.667669651933068</v>
      </c>
      <c r="O174" s="343"/>
      <c r="P174" s="363">
        <f t="shared" ca="1" si="76"/>
        <v>5</v>
      </c>
      <c r="Q174" s="357">
        <f t="shared" ca="1" si="77"/>
        <v>630.52999999999975</v>
      </c>
      <c r="R174" s="359">
        <f t="shared" ca="1" si="78"/>
        <v>0.3164336295223889</v>
      </c>
      <c r="S174" s="360">
        <f t="shared" ca="1" si="79"/>
        <v>9.0499396415610409</v>
      </c>
      <c r="T174" s="357">
        <f t="shared" ca="1" si="59"/>
        <v>88.779907883713818</v>
      </c>
      <c r="U174" s="364">
        <f t="shared" ca="1" si="60"/>
        <v>0</v>
      </c>
      <c r="V174" s="359">
        <f t="shared" ca="1" si="61"/>
        <v>1.2126684135247361</v>
      </c>
      <c r="W174" s="357">
        <f t="shared" ca="1" si="62"/>
        <v>37.15811769570071</v>
      </c>
      <c r="X174" s="343"/>
      <c r="Y174" s="367" t="str">
        <f t="shared" ca="1" si="80"/>
        <v/>
      </c>
      <c r="Z174" s="368" t="str">
        <f t="shared" ca="1" si="81"/>
        <v/>
      </c>
      <c r="AA174" s="369" t="str">
        <f t="shared" ca="1" si="82"/>
        <v/>
      </c>
      <c r="AB174" s="344"/>
      <c r="AC174" s="363" t="e">
        <f t="shared" ca="1" si="83"/>
        <v>#N/A</v>
      </c>
      <c r="AD174" s="376" t="e">
        <f t="shared" ca="1" si="84"/>
        <v>#N/A</v>
      </c>
      <c r="AE174" s="377">
        <f t="shared" ca="1" si="63"/>
        <v>101.17525752760604</v>
      </c>
      <c r="AF174" s="344"/>
      <c r="AG174" s="359">
        <f t="shared" ca="1" si="85"/>
        <v>56.021360755434387</v>
      </c>
      <c r="AH174" s="357">
        <f t="shared" ca="1" si="86"/>
        <v>65.605373931117896</v>
      </c>
    </row>
    <row r="175" spans="1:34" x14ac:dyDescent="0.25">
      <c r="A175" s="402">
        <f t="shared" ca="1" si="64"/>
        <v>0.01</v>
      </c>
      <c r="B175" s="357">
        <f t="shared" ca="1" si="65"/>
        <v>1.7100000000000013</v>
      </c>
      <c r="C175" s="342"/>
      <c r="D175" s="359">
        <f t="shared" ca="1" si="66"/>
        <v>13.974197673160754</v>
      </c>
      <c r="E175" s="360">
        <f t="shared" ca="1" si="67"/>
        <v>54.108153515911276</v>
      </c>
      <c r="F175" s="357">
        <f t="shared" ca="1" si="68"/>
        <v>55.883543888250259</v>
      </c>
      <c r="G175" s="359">
        <f t="shared" ca="1" si="69"/>
        <v>24.989947842977081</v>
      </c>
      <c r="H175" s="360">
        <f t="shared" ca="1" si="70"/>
        <v>114.20623145008867</v>
      </c>
      <c r="I175" s="357">
        <f t="shared" ca="1" si="71"/>
        <v>116.90834356548696</v>
      </c>
      <c r="J175" s="359">
        <f t="shared" ca="1" si="72"/>
        <v>20.955023749730049</v>
      </c>
      <c r="K175" s="360">
        <f t="shared" ca="1" si="73"/>
        <v>102.31461443443112</v>
      </c>
      <c r="L175" s="357">
        <f t="shared" ca="1" si="58"/>
        <v>104.43846679848403</v>
      </c>
      <c r="M175" s="359">
        <f t="shared" ca="1" si="74"/>
        <v>1.3553773373610525</v>
      </c>
      <c r="N175" s="357">
        <f t="shared" ca="1" si="75"/>
        <v>77.657401078467458</v>
      </c>
      <c r="O175" s="343"/>
      <c r="P175" s="363">
        <f t="shared" ca="1" si="76"/>
        <v>5</v>
      </c>
      <c r="Q175" s="357">
        <f t="shared" ca="1" si="77"/>
        <v>629.06999999999982</v>
      </c>
      <c r="R175" s="359">
        <f t="shared" ca="1" si="78"/>
        <v>0.31570092354630108</v>
      </c>
      <c r="S175" s="360">
        <f t="shared" ca="1" si="79"/>
        <v>9.0467826323255771</v>
      </c>
      <c r="T175" s="357">
        <f t="shared" ca="1" si="59"/>
        <v>88.748937623113918</v>
      </c>
      <c r="U175" s="364">
        <f t="shared" ca="1" si="60"/>
        <v>0</v>
      </c>
      <c r="V175" s="359">
        <f t="shared" ca="1" si="61"/>
        <v>1.2125302516067298</v>
      </c>
      <c r="W175" s="357">
        <f t="shared" ca="1" si="62"/>
        <v>37.511394967832828</v>
      </c>
      <c r="X175" s="343"/>
      <c r="Y175" s="367" t="str">
        <f t="shared" ca="1" si="80"/>
        <v/>
      </c>
      <c r="Z175" s="368" t="str">
        <f t="shared" ca="1" si="81"/>
        <v/>
      </c>
      <c r="AA175" s="369" t="str">
        <f t="shared" ca="1" si="82"/>
        <v/>
      </c>
      <c r="AB175" s="344"/>
      <c r="AC175" s="363" t="e">
        <f t="shared" ca="1" si="83"/>
        <v>#N/A</v>
      </c>
      <c r="AD175" s="376" t="e">
        <f t="shared" ca="1" si="84"/>
        <v>#N/A</v>
      </c>
      <c r="AE175" s="377">
        <f t="shared" ca="1" si="63"/>
        <v>102.31461443443112</v>
      </c>
      <c r="AF175" s="344"/>
      <c r="AG175" s="359">
        <f t="shared" ca="1" si="85"/>
        <v>55.844251833240023</v>
      </c>
      <c r="AH175" s="357">
        <f t="shared" ca="1" si="86"/>
        <v>65.427888163169172</v>
      </c>
    </row>
    <row r="176" spans="1:34" x14ac:dyDescent="0.25">
      <c r="A176" s="402">
        <f t="shared" ca="1" si="64"/>
        <v>0.01</v>
      </c>
      <c r="B176" s="357">
        <f t="shared" ca="1" si="65"/>
        <v>1.7200000000000013</v>
      </c>
      <c r="C176" s="342"/>
      <c r="D176" s="359">
        <f t="shared" ca="1" si="66"/>
        <v>13.947664845779077</v>
      </c>
      <c r="E176" s="360">
        <f t="shared" ca="1" si="67"/>
        <v>53.932039382165634</v>
      </c>
      <c r="F176" s="357">
        <f t="shared" ca="1" si="68"/>
        <v>55.706393049358766</v>
      </c>
      <c r="G176" s="359">
        <f t="shared" ca="1" si="69"/>
        <v>25.129424491434872</v>
      </c>
      <c r="H176" s="360">
        <f t="shared" ca="1" si="70"/>
        <v>114.74555184391032</v>
      </c>
      <c r="I176" s="357">
        <f t="shared" ca="1" si="71"/>
        <v>117.46501455001075</v>
      </c>
      <c r="J176" s="359">
        <f t="shared" ca="1" si="72"/>
        <v>21.205620611402111</v>
      </c>
      <c r="K176" s="360">
        <f t="shared" ca="1" si="73"/>
        <v>103.45937335090112</v>
      </c>
      <c r="L176" s="357">
        <f t="shared" ca="1" si="58"/>
        <v>105.6102281016184</v>
      </c>
      <c r="M176" s="359">
        <f t="shared" ca="1" si="74"/>
        <v>1.3551988200587128</v>
      </c>
      <c r="N176" s="357">
        <f t="shared" ca="1" si="75"/>
        <v>77.647172790473334</v>
      </c>
      <c r="O176" s="343"/>
      <c r="P176" s="363">
        <f t="shared" ca="1" si="76"/>
        <v>5</v>
      </c>
      <c r="Q176" s="357">
        <f t="shared" ca="1" si="77"/>
        <v>627.60999999999979</v>
      </c>
      <c r="R176" s="359">
        <f t="shared" ca="1" si="78"/>
        <v>0.3149682175702132</v>
      </c>
      <c r="S176" s="360">
        <f t="shared" ca="1" si="79"/>
        <v>9.0436329501498758</v>
      </c>
      <c r="T176" s="357">
        <f t="shared" ca="1" si="59"/>
        <v>88.718039240970285</v>
      </c>
      <c r="U176" s="364">
        <f t="shared" ca="1" si="60"/>
        <v>0</v>
      </c>
      <c r="V176" s="359">
        <f t="shared" ca="1" si="61"/>
        <v>1.2123914503965563</v>
      </c>
      <c r="W176" s="357">
        <f t="shared" ca="1" si="62"/>
        <v>37.865139104779601</v>
      </c>
      <c r="X176" s="343"/>
      <c r="Y176" s="367" t="str">
        <f t="shared" ca="1" si="80"/>
        <v/>
      </c>
      <c r="Z176" s="368" t="str">
        <f t="shared" ca="1" si="81"/>
        <v/>
      </c>
      <c r="AA176" s="369" t="str">
        <f t="shared" ca="1" si="82"/>
        <v/>
      </c>
      <c r="AB176" s="344"/>
      <c r="AC176" s="363" t="e">
        <f t="shared" ca="1" si="83"/>
        <v>#N/A</v>
      </c>
      <c r="AD176" s="376" t="e">
        <f t="shared" ca="1" si="84"/>
        <v>#N/A</v>
      </c>
      <c r="AE176" s="377">
        <f t="shared" ca="1" si="63"/>
        <v>103.45937335090112</v>
      </c>
      <c r="AF176" s="344"/>
      <c r="AG176" s="359">
        <f t="shared" ca="1" si="85"/>
        <v>55.666911281116505</v>
      </c>
      <c r="AH176" s="357">
        <f t="shared" ca="1" si="86"/>
        <v>65.250171948031962</v>
      </c>
    </row>
    <row r="177" spans="1:34" x14ac:dyDescent="0.25">
      <c r="A177" s="402">
        <f t="shared" ca="1" si="64"/>
        <v>0.01</v>
      </c>
      <c r="B177" s="357">
        <f t="shared" ca="1" si="65"/>
        <v>1.7300000000000013</v>
      </c>
      <c r="C177" s="342"/>
      <c r="D177" s="359">
        <f t="shared" ca="1" si="66"/>
        <v>13.920975826081062</v>
      </c>
      <c r="E177" s="360">
        <f t="shared" ca="1" si="67"/>
        <v>53.755723676395952</v>
      </c>
      <c r="F177" s="357">
        <f t="shared" ca="1" si="68"/>
        <v>55.529014001001045</v>
      </c>
      <c r="G177" s="359">
        <f t="shared" ca="1" si="69"/>
        <v>25.268634249695683</v>
      </c>
      <c r="H177" s="360">
        <f t="shared" ca="1" si="70"/>
        <v>115.28310908067428</v>
      </c>
      <c r="I177" s="357">
        <f t="shared" ca="1" si="71"/>
        <v>118.01990982945013</v>
      </c>
      <c r="J177" s="359">
        <f t="shared" ca="1" si="72"/>
        <v>21.457610905107764</v>
      </c>
      <c r="K177" s="360">
        <f t="shared" ca="1" si="73"/>
        <v>104.60951665552405</v>
      </c>
      <c r="L177" s="357">
        <f t="shared" ca="1" si="58"/>
        <v>106.78754628072208</v>
      </c>
      <c r="M177" s="359">
        <f t="shared" ca="1" si="74"/>
        <v>1.3550209971389149</v>
      </c>
      <c r="N177" s="357">
        <f t="shared" ca="1" si="75"/>
        <v>77.636984287668227</v>
      </c>
      <c r="O177" s="343"/>
      <c r="P177" s="363">
        <f t="shared" ca="1" si="76"/>
        <v>5</v>
      </c>
      <c r="Q177" s="357">
        <f t="shared" ca="1" si="77"/>
        <v>626.14999999999975</v>
      </c>
      <c r="R177" s="359">
        <f t="shared" ca="1" si="78"/>
        <v>0.31423551159412527</v>
      </c>
      <c r="S177" s="360">
        <f t="shared" ca="1" si="79"/>
        <v>9.0404905950339352</v>
      </c>
      <c r="T177" s="357">
        <f t="shared" ca="1" si="59"/>
        <v>88.687212737282906</v>
      </c>
      <c r="U177" s="364">
        <f t="shared" ca="1" si="60"/>
        <v>0</v>
      </c>
      <c r="V177" s="359">
        <f t="shared" ca="1" si="61"/>
        <v>1.2122520122515332</v>
      </c>
      <c r="W177" s="357">
        <f t="shared" ca="1" si="62"/>
        <v>38.219331680763879</v>
      </c>
      <c r="X177" s="343"/>
      <c r="Y177" s="367" t="str">
        <f t="shared" ca="1" si="80"/>
        <v/>
      </c>
      <c r="Z177" s="368" t="str">
        <f t="shared" ca="1" si="81"/>
        <v/>
      </c>
      <c r="AA177" s="369" t="str">
        <f t="shared" ca="1" si="82"/>
        <v/>
      </c>
      <c r="AB177" s="344"/>
      <c r="AC177" s="363" t="e">
        <f t="shared" ca="1" si="83"/>
        <v>#N/A</v>
      </c>
      <c r="AD177" s="376" t="e">
        <f t="shared" ca="1" si="84"/>
        <v>#N/A</v>
      </c>
      <c r="AE177" s="377">
        <f t="shared" ca="1" si="63"/>
        <v>104.60951665552405</v>
      </c>
      <c r="AF177" s="344"/>
      <c r="AG177" s="359">
        <f t="shared" ca="1" si="85"/>
        <v>55.48934134861355</v>
      </c>
      <c r="AH177" s="357">
        <f t="shared" ca="1" si="86"/>
        <v>65.072227520304381</v>
      </c>
    </row>
    <row r="178" spans="1:34" x14ac:dyDescent="0.25">
      <c r="A178" s="402">
        <f t="shared" ca="1" si="64"/>
        <v>0.01</v>
      </c>
      <c r="B178" s="357">
        <f t="shared" ca="1" si="65"/>
        <v>1.7400000000000013</v>
      </c>
      <c r="C178" s="342"/>
      <c r="D178" s="359">
        <f t="shared" ca="1" si="66"/>
        <v>13.89413190157239</v>
      </c>
      <c r="E178" s="360">
        <f t="shared" ca="1" si="67"/>
        <v>53.579208445626051</v>
      </c>
      <c r="F178" s="357">
        <f t="shared" ca="1" si="68"/>
        <v>55.351409006078043</v>
      </c>
      <c r="G178" s="359">
        <f t="shared" ca="1" si="69"/>
        <v>25.407575568711408</v>
      </c>
      <c r="H178" s="360">
        <f t="shared" ca="1" si="70"/>
        <v>115.81890116513054</v>
      </c>
      <c r="I178" s="357">
        <f t="shared" ca="1" si="71"/>
        <v>118.57302713255683</v>
      </c>
      <c r="J178" s="359">
        <f t="shared" ca="1" si="72"/>
        <v>21.710991954199798</v>
      </c>
      <c r="K178" s="360">
        <f t="shared" ca="1" si="73"/>
        <v>105.76502670675308</v>
      </c>
      <c r="L178" s="357">
        <f t="shared" ca="1" si="58"/>
        <v>107.97040356465989</v>
      </c>
      <c r="M178" s="359">
        <f t="shared" ca="1" si="74"/>
        <v>1.3548438600133526</v>
      </c>
      <c r="N178" s="357">
        <f t="shared" ca="1" si="75"/>
        <v>77.626835077978413</v>
      </c>
      <c r="O178" s="343"/>
      <c r="P178" s="363">
        <f t="shared" ca="1" si="76"/>
        <v>5</v>
      </c>
      <c r="Q178" s="357">
        <f t="shared" ca="1" si="77"/>
        <v>624.68999999999983</v>
      </c>
      <c r="R178" s="359">
        <f t="shared" ca="1" si="78"/>
        <v>0.31350280561803745</v>
      </c>
      <c r="S178" s="360">
        <f t="shared" ca="1" si="79"/>
        <v>9.0373555669777552</v>
      </c>
      <c r="T178" s="357">
        <f t="shared" ca="1" si="59"/>
        <v>88.65645811205178</v>
      </c>
      <c r="U178" s="364">
        <f t="shared" ca="1" si="60"/>
        <v>0</v>
      </c>
      <c r="V178" s="359">
        <f t="shared" ca="1" si="61"/>
        <v>1.2121119395314055</v>
      </c>
      <c r="W178" s="357">
        <f t="shared" ca="1" si="62"/>
        <v>38.573954317832325</v>
      </c>
      <c r="X178" s="343"/>
      <c r="Y178" s="367" t="str">
        <f t="shared" ca="1" si="80"/>
        <v/>
      </c>
      <c r="Z178" s="368" t="str">
        <f t="shared" ca="1" si="81"/>
        <v/>
      </c>
      <c r="AA178" s="369" t="str">
        <f t="shared" ca="1" si="82"/>
        <v/>
      </c>
      <c r="AB178" s="344"/>
      <c r="AC178" s="363" t="e">
        <f t="shared" ca="1" si="83"/>
        <v>#N/A</v>
      </c>
      <c r="AD178" s="376" t="e">
        <f t="shared" ca="1" si="84"/>
        <v>#N/A</v>
      </c>
      <c r="AE178" s="377">
        <f t="shared" ca="1" si="63"/>
        <v>105.76502670675308</v>
      </c>
      <c r="AF178" s="344"/>
      <c r="AG178" s="359">
        <f t="shared" ca="1" si="85"/>
        <v>55.311544284049461</v>
      </c>
      <c r="AH178" s="357">
        <f t="shared" ca="1" si="86"/>
        <v>64.894057113585689</v>
      </c>
    </row>
    <row r="179" spans="1:34" x14ac:dyDescent="0.25">
      <c r="A179" s="402">
        <f t="shared" ca="1" si="64"/>
        <v>0.01</v>
      </c>
      <c r="B179" s="357">
        <f t="shared" ca="1" si="65"/>
        <v>1.7500000000000013</v>
      </c>
      <c r="C179" s="342"/>
      <c r="D179" s="359">
        <f t="shared" ca="1" si="66"/>
        <v>13.867134346726758</v>
      </c>
      <c r="E179" s="360">
        <f t="shared" ca="1" si="67"/>
        <v>53.402495737883925</v>
      </c>
      <c r="F179" s="357">
        <f t="shared" ca="1" si="68"/>
        <v>55.173580326319943</v>
      </c>
      <c r="G179" s="359">
        <f t="shared" ca="1" si="69"/>
        <v>25.546246912178677</v>
      </c>
      <c r="H179" s="360">
        <f t="shared" ca="1" si="70"/>
        <v>116.35292612250937</v>
      </c>
      <c r="I179" s="357">
        <f t="shared" ca="1" si="71"/>
        <v>119.12436421055149</v>
      </c>
      <c r="J179" s="359">
        <f t="shared" ca="1" si="72"/>
        <v>21.965761066604248</v>
      </c>
      <c r="K179" s="360">
        <f t="shared" ca="1" si="73"/>
        <v>106.92588584319128</v>
      </c>
      <c r="L179" s="357">
        <f t="shared" ca="1" si="58"/>
        <v>109.15878215968846</v>
      </c>
      <c r="M179" s="359">
        <f t="shared" ca="1" si="74"/>
        <v>1.3546674002337582</v>
      </c>
      <c r="N179" s="357">
        <f t="shared" ca="1" si="75"/>
        <v>77.616724677353858</v>
      </c>
      <c r="O179" s="343"/>
      <c r="P179" s="363">
        <f t="shared" ca="1" si="76"/>
        <v>5</v>
      </c>
      <c r="Q179" s="357">
        <f t="shared" ca="1" si="77"/>
        <v>623.22999999999979</v>
      </c>
      <c r="R179" s="359">
        <f t="shared" ca="1" si="78"/>
        <v>0.31277009964194957</v>
      </c>
      <c r="S179" s="360">
        <f t="shared" ca="1" si="79"/>
        <v>9.034227865981336</v>
      </c>
      <c r="T179" s="357">
        <f t="shared" ca="1" si="59"/>
        <v>88.625775365276908</v>
      </c>
      <c r="U179" s="364">
        <f t="shared" ca="1" si="60"/>
        <v>0</v>
      </c>
      <c r="V179" s="359">
        <f t="shared" ca="1" si="61"/>
        <v>1.21197123459831</v>
      </c>
      <c r="W179" s="357">
        <f t="shared" ca="1" si="62"/>
        <v>38.928988686494222</v>
      </c>
      <c r="X179" s="343"/>
      <c r="Y179" s="367" t="str">
        <f t="shared" ca="1" si="80"/>
        <v/>
      </c>
      <c r="Z179" s="368" t="str">
        <f t="shared" ca="1" si="81"/>
        <v/>
      </c>
      <c r="AA179" s="369" t="str">
        <f t="shared" ca="1" si="82"/>
        <v/>
      </c>
      <c r="AB179" s="344"/>
      <c r="AC179" s="363" t="e">
        <f t="shared" ca="1" si="83"/>
        <v>#N/A</v>
      </c>
      <c r="AD179" s="376" t="e">
        <f t="shared" ca="1" si="84"/>
        <v>#N/A</v>
      </c>
      <c r="AE179" s="377">
        <f t="shared" ca="1" si="63"/>
        <v>106.92588584319128</v>
      </c>
      <c r="AF179" s="344"/>
      <c r="AG179" s="359">
        <f t="shared" ca="1" si="85"/>
        <v>55.133522334425109</v>
      </c>
      <c r="AH179" s="357">
        <f t="shared" ca="1" si="86"/>
        <v>64.715662960385117</v>
      </c>
    </row>
    <row r="180" spans="1:34" x14ac:dyDescent="0.25">
      <c r="A180" s="402">
        <f t="shared" ca="1" si="64"/>
        <v>0.01</v>
      </c>
      <c r="B180" s="357">
        <f t="shared" ca="1" si="65"/>
        <v>1.7600000000000013</v>
      </c>
      <c r="C180" s="342"/>
      <c r="D180" s="359">
        <f t="shared" ca="1" si="66"/>
        <v>13.839984423263354</v>
      </c>
      <c r="E180" s="360">
        <f t="shared" ca="1" si="67"/>
        <v>53.225587602065808</v>
      </c>
      <c r="F180" s="357">
        <f t="shared" ca="1" si="68"/>
        <v>54.995530222204003</v>
      </c>
      <c r="G180" s="359">
        <f t="shared" ca="1" si="69"/>
        <v>25.684646756411311</v>
      </c>
      <c r="H180" s="360">
        <f t="shared" ca="1" si="70"/>
        <v>116.88518199853003</v>
      </c>
      <c r="I180" s="357">
        <f t="shared" ca="1" si="71"/>
        <v>119.6739188371097</v>
      </c>
      <c r="J180" s="359">
        <f t="shared" ca="1" si="72"/>
        <v>22.221915534947197</v>
      </c>
      <c r="K180" s="360">
        <f t="shared" ca="1" si="73"/>
        <v>108.09207638379648</v>
      </c>
      <c r="L180" s="357">
        <f t="shared" ca="1" si="58"/>
        <v>110.35266424968098</v>
      </c>
      <c r="M180" s="359">
        <f t="shared" ca="1" si="74"/>
        <v>1.3544916094887614</v>
      </c>
      <c r="N180" s="357">
        <f t="shared" ca="1" si="75"/>
        <v>77.606652609588068</v>
      </c>
      <c r="O180" s="343"/>
      <c r="P180" s="363">
        <f t="shared" ca="1" si="76"/>
        <v>5</v>
      </c>
      <c r="Q180" s="357">
        <f t="shared" ca="1" si="77"/>
        <v>621.76999999999975</v>
      </c>
      <c r="R180" s="359">
        <f t="shared" ca="1" si="78"/>
        <v>0.3120373936658617</v>
      </c>
      <c r="S180" s="360">
        <f t="shared" ca="1" si="79"/>
        <v>9.0311074920446774</v>
      </c>
      <c r="T180" s="357">
        <f t="shared" ca="1" si="59"/>
        <v>88.59516449695829</v>
      </c>
      <c r="U180" s="364">
        <f t="shared" ca="1" si="60"/>
        <v>0</v>
      </c>
      <c r="V180" s="359">
        <f t="shared" ca="1" si="61"/>
        <v>1.2118298998167345</v>
      </c>
      <c r="W180" s="357">
        <f t="shared" ca="1" si="62"/>
        <v>39.284416506354752</v>
      </c>
      <c r="X180" s="343"/>
      <c r="Y180" s="367" t="str">
        <f t="shared" ca="1" si="80"/>
        <v/>
      </c>
      <c r="Z180" s="368" t="str">
        <f t="shared" ca="1" si="81"/>
        <v/>
      </c>
      <c r="AA180" s="369" t="str">
        <f t="shared" ca="1" si="82"/>
        <v/>
      </c>
      <c r="AB180" s="344"/>
      <c r="AC180" s="363" t="e">
        <f t="shared" ca="1" si="83"/>
        <v>#N/A</v>
      </c>
      <c r="AD180" s="376" t="e">
        <f t="shared" ca="1" si="84"/>
        <v>#N/A</v>
      </c>
      <c r="AE180" s="377">
        <f t="shared" ca="1" si="63"/>
        <v>108.09207638379648</v>
      </c>
      <c r="AF180" s="344"/>
      <c r="AG180" s="359">
        <f t="shared" ca="1" si="85"/>
        <v>54.955277745338392</v>
      </c>
      <c r="AH180" s="357">
        <f t="shared" ca="1" si="86"/>
        <v>64.537047292031303</v>
      </c>
    </row>
    <row r="181" spans="1:34" x14ac:dyDescent="0.25">
      <c r="A181" s="402">
        <f t="shared" ca="1" si="64"/>
        <v>0.01</v>
      </c>
      <c r="B181" s="357">
        <f t="shared" ca="1" si="65"/>
        <v>1.7700000000000014</v>
      </c>
      <c r="C181" s="342"/>
      <c r="D181" s="359">
        <f t="shared" ca="1" si="66"/>
        <v>13.812683380415898</v>
      </c>
      <c r="E181" s="360">
        <f t="shared" ca="1" si="67"/>
        <v>53.048486087801749</v>
      </c>
      <c r="F181" s="357">
        <f t="shared" ca="1" si="68"/>
        <v>54.817260952872438</v>
      </c>
      <c r="G181" s="359">
        <f t="shared" ca="1" si="69"/>
        <v>25.822773590215469</v>
      </c>
      <c r="H181" s="360">
        <f t="shared" ca="1" si="70"/>
        <v>117.41566685940805</v>
      </c>
      <c r="I181" s="357">
        <f t="shared" ca="1" si="71"/>
        <v>120.22168880834698</v>
      </c>
      <c r="J181" s="359">
        <f t="shared" ca="1" si="72"/>
        <v>22.479452636680332</v>
      </c>
      <c r="K181" s="360">
        <f t="shared" ca="1" si="73"/>
        <v>109.26358062808617</v>
      </c>
      <c r="L181" s="357">
        <f t="shared" ca="1" si="58"/>
        <v>111.55203199635156</v>
      </c>
      <c r="M181" s="359">
        <f t="shared" ca="1" si="74"/>
        <v>1.3543164796008358</v>
      </c>
      <c r="N181" s="357">
        <f t="shared" ca="1" si="75"/>
        <v>77.596618406143335</v>
      </c>
      <c r="O181" s="343"/>
      <c r="P181" s="363">
        <f t="shared" ca="1" si="76"/>
        <v>5</v>
      </c>
      <c r="Q181" s="357">
        <f t="shared" ca="1" si="77"/>
        <v>620.30999999999983</v>
      </c>
      <c r="R181" s="359">
        <f t="shared" ca="1" si="78"/>
        <v>0.31130468768977382</v>
      </c>
      <c r="S181" s="360">
        <f t="shared" ca="1" si="79"/>
        <v>9.0279944451677796</v>
      </c>
      <c r="T181" s="357">
        <f t="shared" ca="1" si="59"/>
        <v>88.564625507095926</v>
      </c>
      <c r="U181" s="364">
        <f t="shared" ca="1" si="60"/>
        <v>0</v>
      </c>
      <c r="V181" s="359">
        <f t="shared" ca="1" si="61"/>
        <v>1.2116879375534821</v>
      </c>
      <c r="W181" s="357">
        <f t="shared" ca="1" si="62"/>
        <v>39.640219546743026</v>
      </c>
      <c r="X181" s="343"/>
      <c r="Y181" s="367" t="str">
        <f t="shared" ca="1" si="80"/>
        <v/>
      </c>
      <c r="Z181" s="368" t="str">
        <f t="shared" ca="1" si="81"/>
        <v/>
      </c>
      <c r="AA181" s="369" t="str">
        <f t="shared" ca="1" si="82"/>
        <v/>
      </c>
      <c r="AB181" s="344"/>
      <c r="AC181" s="363" t="e">
        <f t="shared" ca="1" si="83"/>
        <v>#N/A</v>
      </c>
      <c r="AD181" s="376" t="e">
        <f t="shared" ca="1" si="84"/>
        <v>#N/A</v>
      </c>
      <c r="AE181" s="377">
        <f t="shared" ca="1" si="63"/>
        <v>109.26358062808617</v>
      </c>
      <c r="AF181" s="344"/>
      <c r="AG181" s="359">
        <f t="shared" ca="1" si="85"/>
        <v>54.776812760898579</v>
      </c>
      <c r="AH181" s="357">
        <f t="shared" ca="1" si="86"/>
        <v>64.358212338581808</v>
      </c>
    </row>
    <row r="182" spans="1:34" x14ac:dyDescent="0.25">
      <c r="A182" s="402">
        <f t="shared" ca="1" si="64"/>
        <v>0.01</v>
      </c>
      <c r="B182" s="357">
        <f t="shared" ca="1" si="65"/>
        <v>1.7800000000000014</v>
      </c>
      <c r="C182" s="342"/>
      <c r="D182" s="359">
        <f t="shared" ca="1" si="66"/>
        <v>13.785232455193674</v>
      </c>
      <c r="E182" s="360">
        <f t="shared" ca="1" si="67"/>
        <v>52.87119324532307</v>
      </c>
      <c r="F182" s="357">
        <f t="shared" ca="1" si="68"/>
        <v>54.638774776050944</v>
      </c>
      <c r="G182" s="359">
        <f t="shared" ca="1" si="69"/>
        <v>25.960625914767405</v>
      </c>
      <c r="H182" s="360">
        <f t="shared" ca="1" si="70"/>
        <v>117.94437879186128</v>
      </c>
      <c r="I182" s="357">
        <f t="shared" ca="1" si="71"/>
        <v>120.76767194280326</v>
      </c>
      <c r="J182" s="359">
        <f t="shared" ca="1" si="72"/>
        <v>22.738369634205245</v>
      </c>
      <c r="K182" s="360">
        <f t="shared" ca="1" si="73"/>
        <v>110.44038085634251</v>
      </c>
      <c r="L182" s="357">
        <f t="shared" ca="1" si="58"/>
        <v>112.75686753947953</v>
      </c>
      <c r="M182" s="359">
        <f t="shared" ca="1" si="74"/>
        <v>1.3541420025233286</v>
      </c>
      <c r="N182" s="357">
        <f t="shared" ca="1" si="75"/>
        <v>77.586621605980397</v>
      </c>
      <c r="O182" s="343"/>
      <c r="P182" s="363">
        <f t="shared" ca="1" si="76"/>
        <v>5</v>
      </c>
      <c r="Q182" s="357">
        <f t="shared" ca="1" si="77"/>
        <v>618.8499999999998</v>
      </c>
      <c r="R182" s="359">
        <f t="shared" ca="1" si="78"/>
        <v>0.31057198171368594</v>
      </c>
      <c r="S182" s="360">
        <f t="shared" ca="1" si="79"/>
        <v>9.0248887253506425</v>
      </c>
      <c r="T182" s="357">
        <f t="shared" ca="1" si="59"/>
        <v>88.534158395689801</v>
      </c>
      <c r="U182" s="364">
        <f t="shared" ca="1" si="60"/>
        <v>0</v>
      </c>
      <c r="V182" s="359">
        <f t="shared" ca="1" si="61"/>
        <v>1.2115453501776314</v>
      </c>
      <c r="W182" s="357">
        <f t="shared" ca="1" si="62"/>
        <v>39.99637962733506</v>
      </c>
      <c r="X182" s="343"/>
      <c r="Y182" s="367" t="str">
        <f t="shared" ca="1" si="80"/>
        <v/>
      </c>
      <c r="Z182" s="368" t="str">
        <f t="shared" ca="1" si="81"/>
        <v/>
      </c>
      <c r="AA182" s="369" t="str">
        <f t="shared" ca="1" si="82"/>
        <v/>
      </c>
      <c r="AB182" s="344"/>
      <c r="AC182" s="363" t="e">
        <f t="shared" ca="1" si="83"/>
        <v>#N/A</v>
      </c>
      <c r="AD182" s="376" t="e">
        <f t="shared" ca="1" si="84"/>
        <v>#N/A</v>
      </c>
      <c r="AE182" s="377">
        <f t="shared" ca="1" si="63"/>
        <v>110.44038085634251</v>
      </c>
      <c r="AF182" s="344"/>
      <c r="AG182" s="359">
        <f t="shared" ca="1" si="85"/>
        <v>54.598129623641299</v>
      </c>
      <c r="AH182" s="357">
        <f t="shared" ca="1" si="86"/>
        <v>64.179160328733346</v>
      </c>
    </row>
    <row r="183" spans="1:34" x14ac:dyDescent="0.25">
      <c r="A183" s="402">
        <f t="shared" ca="1" si="64"/>
        <v>0.01</v>
      </c>
      <c r="B183" s="357">
        <f t="shared" ca="1" si="65"/>
        <v>1.7900000000000014</v>
      </c>
      <c r="C183" s="342"/>
      <c r="D183" s="359">
        <f t="shared" ca="1" si="66"/>
        <v>13.757632872634883</v>
      </c>
      <c r="E183" s="360">
        <f t="shared" ca="1" si="67"/>
        <v>52.693711125331298</v>
      </c>
      <c r="F183" s="357">
        <f t="shared" ca="1" si="68"/>
        <v>54.460073947967302</v>
      </c>
      <c r="G183" s="359">
        <f t="shared" ca="1" si="69"/>
        <v>26.098202243493756</v>
      </c>
      <c r="H183" s="360">
        <f t="shared" ca="1" si="70"/>
        <v>118.4713159031146</v>
      </c>
      <c r="I183" s="357">
        <f t="shared" ca="1" si="71"/>
        <v>121.31186608142617</v>
      </c>
      <c r="J183" s="359">
        <f t="shared" ca="1" si="72"/>
        <v>22.998663774996551</v>
      </c>
      <c r="K183" s="360">
        <f t="shared" ca="1" si="73"/>
        <v>111.62245932981739</v>
      </c>
      <c r="L183" s="357">
        <f t="shared" ca="1" si="58"/>
        <v>113.96715299713368</v>
      </c>
      <c r="M183" s="359">
        <f t="shared" ca="1" si="74"/>
        <v>1.3539681703375752</v>
      </c>
      <c r="N183" s="357">
        <f t="shared" ca="1" si="75"/>
        <v>77.576661755393204</v>
      </c>
      <c r="O183" s="343"/>
      <c r="P183" s="363">
        <f t="shared" ca="1" si="76"/>
        <v>5</v>
      </c>
      <c r="Q183" s="357">
        <f t="shared" ca="1" si="77"/>
        <v>617.38999999999976</v>
      </c>
      <c r="R183" s="359">
        <f t="shared" ca="1" si="78"/>
        <v>0.30983927573759806</v>
      </c>
      <c r="S183" s="360">
        <f t="shared" ca="1" si="79"/>
        <v>9.021790332593266</v>
      </c>
      <c r="T183" s="357">
        <f t="shared" ca="1" si="59"/>
        <v>88.503763162739943</v>
      </c>
      <c r="U183" s="364">
        <f t="shared" ca="1" si="60"/>
        <v>0</v>
      </c>
      <c r="V183" s="359">
        <f t="shared" ca="1" si="61"/>
        <v>1.2114021400605008</v>
      </c>
      <c r="W183" s="357">
        <f t="shared" ca="1" si="62"/>
        <v>40.352878618771229</v>
      </c>
      <c r="X183" s="343"/>
      <c r="Y183" s="367" t="str">
        <f t="shared" ca="1" si="80"/>
        <v/>
      </c>
      <c r="Z183" s="368" t="str">
        <f t="shared" ca="1" si="81"/>
        <v/>
      </c>
      <c r="AA183" s="369" t="str">
        <f t="shared" ca="1" si="82"/>
        <v/>
      </c>
      <c r="AB183" s="344"/>
      <c r="AC183" s="363" t="e">
        <f t="shared" ca="1" si="83"/>
        <v>#N/A</v>
      </c>
      <c r="AD183" s="376" t="e">
        <f t="shared" ca="1" si="84"/>
        <v>#N/A</v>
      </c>
      <c r="AE183" s="377">
        <f t="shared" ca="1" si="63"/>
        <v>111.62245932981739</v>
      </c>
      <c r="AF183" s="344"/>
      <c r="AG183" s="359">
        <f t="shared" ca="1" si="85"/>
        <v>54.419230574443574</v>
      </c>
      <c r="AH183" s="357">
        <f t="shared" ca="1" si="86"/>
        <v>63.999893489732209</v>
      </c>
    </row>
    <row r="184" spans="1:34" x14ac:dyDescent="0.25">
      <c r="A184" s="402">
        <f t="shared" ca="1" si="64"/>
        <v>0.01</v>
      </c>
      <c r="B184" s="357">
        <f t="shared" ca="1" si="65"/>
        <v>1.8000000000000014</v>
      </c>
      <c r="C184" s="342"/>
      <c r="D184" s="359">
        <f t="shared" ca="1" si="66"/>
        <v>13.729885846052259</v>
      </c>
      <c r="E184" s="360">
        <f t="shared" ca="1" si="67"/>
        <v>52.516041778868818</v>
      </c>
      <c r="F184" s="357">
        <f t="shared" ca="1" si="68"/>
        <v>54.281160723270474</v>
      </c>
      <c r="G184" s="359">
        <f t="shared" ca="1" si="69"/>
        <v>26.235501101954277</v>
      </c>
      <c r="H184" s="360">
        <f t="shared" ca="1" si="70"/>
        <v>118.99647632090328</v>
      </c>
      <c r="I184" s="357">
        <f t="shared" ca="1" si="71"/>
        <v>121.85426908755369</v>
      </c>
      <c r="J184" s="359">
        <f t="shared" ca="1" si="72"/>
        <v>23.260332291723792</v>
      </c>
      <c r="K184" s="360">
        <f t="shared" ca="1" si="73"/>
        <v>112.80979829093748</v>
      </c>
      <c r="L184" s="357">
        <f t="shared" ca="1" si="58"/>
        <v>115.18287046589614</v>
      </c>
      <c r="M184" s="359">
        <f t="shared" ca="1" si="74"/>
        <v>1.3537949752500893</v>
      </c>
      <c r="N184" s="357">
        <f t="shared" ca="1" si="75"/>
        <v>77.566738407847851</v>
      </c>
      <c r="O184" s="343"/>
      <c r="P184" s="363">
        <f t="shared" ca="1" si="76"/>
        <v>5</v>
      </c>
      <c r="Q184" s="357">
        <f t="shared" ca="1" si="77"/>
        <v>615.92999999999984</v>
      </c>
      <c r="R184" s="359">
        <f t="shared" ca="1" si="78"/>
        <v>0.30910656976151019</v>
      </c>
      <c r="S184" s="360">
        <f t="shared" ca="1" si="79"/>
        <v>9.0186992668956503</v>
      </c>
      <c r="T184" s="357">
        <f t="shared" ca="1" si="59"/>
        <v>88.47343980824634</v>
      </c>
      <c r="U184" s="364">
        <f t="shared" ca="1" si="60"/>
        <v>0</v>
      </c>
      <c r="V184" s="359">
        <f t="shared" ca="1" si="61"/>
        <v>1.2112583095756078</v>
      </c>
      <c r="W184" s="357">
        <f t="shared" ca="1" si="62"/>
        <v>40.709698443268358</v>
      </c>
      <c r="X184" s="343"/>
      <c r="Y184" s="367" t="str">
        <f t="shared" ca="1" si="80"/>
        <v/>
      </c>
      <c r="Z184" s="368" t="str">
        <f t="shared" ca="1" si="81"/>
        <v/>
      </c>
      <c r="AA184" s="369" t="str">
        <f t="shared" ca="1" si="82"/>
        <v/>
      </c>
      <c r="AB184" s="344"/>
      <c r="AC184" s="363" t="e">
        <f t="shared" ca="1" si="83"/>
        <v>#N/A</v>
      </c>
      <c r="AD184" s="376" t="e">
        <f t="shared" ca="1" si="84"/>
        <v>#N/A</v>
      </c>
      <c r="AE184" s="377">
        <f t="shared" ca="1" si="63"/>
        <v>112.80979829093748</v>
      </c>
      <c r="AF184" s="344"/>
      <c r="AG184" s="359">
        <f t="shared" ca="1" si="85"/>
        <v>54.240117852439276</v>
      </c>
      <c r="AH184" s="357">
        <f t="shared" ca="1" si="86"/>
        <v>63.820414047285276</v>
      </c>
    </row>
    <row r="185" spans="1:34" x14ac:dyDescent="0.25">
      <c r="A185" s="402">
        <f t="shared" ca="1" si="64"/>
        <v>0.01</v>
      </c>
      <c r="B185" s="357">
        <f t="shared" ca="1" si="65"/>
        <v>1.8100000000000014</v>
      </c>
      <c r="C185" s="342"/>
      <c r="D185" s="359">
        <f t="shared" ca="1" si="66"/>
        <v>13.701992577271643</v>
      </c>
      <c r="E185" s="360">
        <f t="shared" ca="1" si="67"/>
        <v>52.338187257191066</v>
      </c>
      <c r="F185" s="357">
        <f t="shared" ca="1" si="68"/>
        <v>54.102037354949992</v>
      </c>
      <c r="G185" s="359">
        <f t="shared" ca="1" si="69"/>
        <v>26.372521027726993</v>
      </c>
      <c r="H185" s="360">
        <f t="shared" ca="1" si="70"/>
        <v>119.5198581934752</v>
      </c>
      <c r="I185" s="357">
        <f t="shared" ca="1" si="71"/>
        <v>122.39487884689589</v>
      </c>
      <c r="J185" s="359">
        <f t="shared" ca="1" si="72"/>
        <v>23.5233724023722</v>
      </c>
      <c r="K185" s="360">
        <f t="shared" ca="1" si="73"/>
        <v>114.00237996350937</v>
      </c>
      <c r="L185" s="357">
        <f t="shared" ca="1" si="58"/>
        <v>116.40400202108624</v>
      </c>
      <c r="M185" s="359">
        <f t="shared" ca="1" si="74"/>
        <v>1.353622409589833</v>
      </c>
      <c r="N185" s="357">
        <f t="shared" ca="1" si="75"/>
        <v>77.556851123826291</v>
      </c>
      <c r="O185" s="343"/>
      <c r="P185" s="363">
        <f t="shared" ca="1" si="76"/>
        <v>5</v>
      </c>
      <c r="Q185" s="357">
        <f t="shared" ca="1" si="77"/>
        <v>614.4699999999998</v>
      </c>
      <c r="R185" s="359">
        <f t="shared" ca="1" si="78"/>
        <v>0.30837386378542231</v>
      </c>
      <c r="S185" s="360">
        <f t="shared" ca="1" si="79"/>
        <v>9.0156155282577952</v>
      </c>
      <c r="T185" s="357">
        <f t="shared" ca="1" si="59"/>
        <v>88.443188332208976</v>
      </c>
      <c r="U185" s="364">
        <f t="shared" ca="1" si="60"/>
        <v>0</v>
      </c>
      <c r="V185" s="359">
        <f t="shared" ca="1" si="61"/>
        <v>1.2111138610986332</v>
      </c>
      <c r="W185" s="357">
        <f t="shared" ca="1" si="62"/>
        <v>41.066821075226621</v>
      </c>
      <c r="X185" s="343"/>
      <c r="Y185" s="367" t="str">
        <f t="shared" ca="1" si="80"/>
        <v/>
      </c>
      <c r="Z185" s="368" t="str">
        <f t="shared" ca="1" si="81"/>
        <v/>
      </c>
      <c r="AA185" s="369" t="str">
        <f t="shared" ca="1" si="82"/>
        <v/>
      </c>
      <c r="AB185" s="344"/>
      <c r="AC185" s="363" t="e">
        <f t="shared" ca="1" si="83"/>
        <v>#N/A</v>
      </c>
      <c r="AD185" s="376" t="e">
        <f t="shared" ca="1" si="84"/>
        <v>#N/A</v>
      </c>
      <c r="AE185" s="377">
        <f t="shared" ca="1" si="63"/>
        <v>114.00237996350937</v>
      </c>
      <c r="AF185" s="344"/>
      <c r="AG185" s="359">
        <f t="shared" ca="1" si="85"/>
        <v>54.060793694934866</v>
      </c>
      <c r="AH185" s="357">
        <f t="shared" ca="1" si="86"/>
        <v>63.640724225471331</v>
      </c>
    </row>
    <row r="186" spans="1:34" x14ac:dyDescent="0.25">
      <c r="A186" s="402">
        <f t="shared" ca="1" si="64"/>
        <v>0.01</v>
      </c>
      <c r="B186" s="357">
        <f t="shared" ca="1" si="65"/>
        <v>1.8200000000000014</v>
      </c>
      <c r="C186" s="342"/>
      <c r="D186" s="359">
        <f t="shared" ca="1" si="66"/>
        <v>13.67395425686332</v>
      </c>
      <c r="E186" s="360">
        <f t="shared" ca="1" si="67"/>
        <v>52.160149611640257</v>
      </c>
      <c r="F186" s="357">
        <f t="shared" ca="1" si="68"/>
        <v>53.922706094255744</v>
      </c>
      <c r="G186" s="359">
        <f t="shared" ca="1" si="69"/>
        <v>26.509260570295627</v>
      </c>
      <c r="H186" s="360">
        <f t="shared" ca="1" si="70"/>
        <v>120.0414596895916</v>
      </c>
      <c r="I186" s="357">
        <f t="shared" ca="1" si="71"/>
        <v>122.93369326751586</v>
      </c>
      <c r="J186" s="359">
        <f t="shared" ca="1" si="72"/>
        <v>23.787781310362313</v>
      </c>
      <c r="K186" s="360">
        <f t="shared" ca="1" si="73"/>
        <v>115.20018655292471</v>
      </c>
      <c r="L186" s="357">
        <f t="shared" ca="1" si="58"/>
        <v>117.63052971698409</v>
      </c>
      <c r="M186" s="359">
        <f t="shared" ca="1" si="74"/>
        <v>1.3534504658055577</v>
      </c>
      <c r="N186" s="357">
        <f t="shared" ca="1" si="75"/>
        <v>77.546999470673796</v>
      </c>
      <c r="O186" s="343"/>
      <c r="P186" s="363">
        <f t="shared" ca="1" si="76"/>
        <v>5</v>
      </c>
      <c r="Q186" s="357">
        <f t="shared" ca="1" si="77"/>
        <v>613.00999999999976</v>
      </c>
      <c r="R186" s="359">
        <f t="shared" ca="1" si="78"/>
        <v>0.30764115780933443</v>
      </c>
      <c r="S186" s="360">
        <f t="shared" ca="1" si="79"/>
        <v>9.0125391166797026</v>
      </c>
      <c r="T186" s="357">
        <f t="shared" ca="1" si="59"/>
        <v>88.413008734627894</v>
      </c>
      <c r="U186" s="364">
        <f t="shared" ca="1" si="60"/>
        <v>0</v>
      </c>
      <c r="V186" s="359">
        <f t="shared" ca="1" si="61"/>
        <v>1.2109687970073826</v>
      </c>
      <c r="W186" s="357">
        <f t="shared" ca="1" si="62"/>
        <v>41.424228541830963</v>
      </c>
      <c r="X186" s="343"/>
      <c r="Y186" s="367" t="str">
        <f t="shared" ca="1" si="80"/>
        <v/>
      </c>
      <c r="Z186" s="368" t="str">
        <f t="shared" ca="1" si="81"/>
        <v/>
      </c>
      <c r="AA186" s="369" t="str">
        <f t="shared" ca="1" si="82"/>
        <v/>
      </c>
      <c r="AB186" s="344"/>
      <c r="AC186" s="363" t="e">
        <f t="shared" ca="1" si="83"/>
        <v>#N/A</v>
      </c>
      <c r="AD186" s="376" t="e">
        <f t="shared" ca="1" si="84"/>
        <v>#N/A</v>
      </c>
      <c r="AE186" s="377">
        <f t="shared" ca="1" si="63"/>
        <v>115.20018655292471</v>
      </c>
      <c r="AF186" s="344"/>
      <c r="AG186" s="359">
        <f t="shared" ca="1" si="85"/>
        <v>53.881260337325408</v>
      </c>
      <c r="AH186" s="357">
        <f t="shared" ca="1" si="86"/>
        <v>63.460826246652893</v>
      </c>
    </row>
    <row r="187" spans="1:34" x14ac:dyDescent="0.25">
      <c r="A187" s="402">
        <f t="shared" ca="1" si="64"/>
        <v>0.01</v>
      </c>
      <c r="B187" s="357">
        <f t="shared" ca="1" si="65"/>
        <v>1.8300000000000014</v>
      </c>
      <c r="C187" s="342"/>
      <c r="D187" s="359">
        <f t="shared" ca="1" si="66"/>
        <v>13.645772064366771</v>
      </c>
      <c r="E187" s="360">
        <f t="shared" ca="1" si="67"/>
        <v>51.981930893520612</v>
      </c>
      <c r="F187" s="357">
        <f t="shared" ca="1" si="68"/>
        <v>53.743169190618126</v>
      </c>
      <c r="G187" s="359">
        <f t="shared" ca="1" si="69"/>
        <v>26.645718290939296</v>
      </c>
      <c r="H187" s="360">
        <f t="shared" ca="1" si="70"/>
        <v>120.56127899852682</v>
      </c>
      <c r="I187" s="357">
        <f t="shared" ca="1" si="71"/>
        <v>123.47071027980977</v>
      </c>
      <c r="J187" s="359">
        <f t="shared" ca="1" si="72"/>
        <v>24.053556204668489</v>
      </c>
      <c r="K187" s="360">
        <f t="shared" ca="1" si="73"/>
        <v>116.4032002463653</v>
      </c>
      <c r="L187" s="357">
        <f t="shared" ca="1" si="58"/>
        <v>118.86243558705402</v>
      </c>
      <c r="M187" s="359">
        <f t="shared" ca="1" si="74"/>
        <v>1.3532791364632195</v>
      </c>
      <c r="N187" s="357">
        <f t="shared" ca="1" si="75"/>
        <v>77.537183022451075</v>
      </c>
      <c r="O187" s="343"/>
      <c r="P187" s="363">
        <f t="shared" ca="1" si="76"/>
        <v>5</v>
      </c>
      <c r="Q187" s="357">
        <f t="shared" ca="1" si="77"/>
        <v>611.54999999999973</v>
      </c>
      <c r="R187" s="359">
        <f t="shared" ca="1" si="78"/>
        <v>0.30690845183324655</v>
      </c>
      <c r="S187" s="360">
        <f t="shared" ca="1" si="79"/>
        <v>9.0094700321613708</v>
      </c>
      <c r="T187" s="357">
        <f t="shared" ca="1" si="59"/>
        <v>88.382901015503052</v>
      </c>
      <c r="U187" s="364">
        <f t="shared" ca="1" si="60"/>
        <v>0</v>
      </c>
      <c r="V187" s="359">
        <f t="shared" ca="1" si="61"/>
        <v>1.2108231196817481</v>
      </c>
      <c r="W187" s="357">
        <f t="shared" ca="1" si="62"/>
        <v>41.781902923647102</v>
      </c>
      <c r="X187" s="343"/>
      <c r="Y187" s="367" t="str">
        <f t="shared" ca="1" si="80"/>
        <v/>
      </c>
      <c r="Z187" s="368" t="str">
        <f t="shared" ca="1" si="81"/>
        <v/>
      </c>
      <c r="AA187" s="369" t="str">
        <f t="shared" ca="1" si="82"/>
        <v/>
      </c>
      <c r="AB187" s="344"/>
      <c r="AC187" s="363" t="e">
        <f t="shared" ca="1" si="83"/>
        <v>#N/A</v>
      </c>
      <c r="AD187" s="376" t="e">
        <f t="shared" ca="1" si="84"/>
        <v>#N/A</v>
      </c>
      <c r="AE187" s="377">
        <f t="shared" ca="1" si="63"/>
        <v>116.4032002463653</v>
      </c>
      <c r="AF187" s="344"/>
      <c r="AG187" s="359">
        <f t="shared" ca="1" si="85"/>
        <v>53.701520013010935</v>
      </c>
      <c r="AH187" s="357">
        <f t="shared" ca="1" si="86"/>
        <v>63.280722331388411</v>
      </c>
    </row>
    <row r="188" spans="1:34" x14ac:dyDescent="0.25">
      <c r="A188" s="402">
        <f t="shared" ca="1" si="64"/>
        <v>0.01</v>
      </c>
      <c r="B188" s="357">
        <f t="shared" ca="1" si="65"/>
        <v>1.8400000000000014</v>
      </c>
      <c r="C188" s="342"/>
      <c r="D188" s="359">
        <f t="shared" ca="1" si="66"/>
        <v>13.617447168508646</v>
      </c>
      <c r="E188" s="360">
        <f t="shared" ca="1" si="67"/>
        <v>51.803533153975124</v>
      </c>
      <c r="F188" s="357">
        <f t="shared" ca="1" si="68"/>
        <v>53.563428891568584</v>
      </c>
      <c r="G188" s="359">
        <f t="shared" ca="1" si="69"/>
        <v>26.781892762624384</v>
      </c>
      <c r="H188" s="360">
        <f t="shared" ca="1" si="70"/>
        <v>121.07931433006657</v>
      </c>
      <c r="I188" s="357">
        <f t="shared" ca="1" si="71"/>
        <v>124.00592783648601</v>
      </c>
      <c r="J188" s="359">
        <f t="shared" ca="1" si="72"/>
        <v>24.320694259936307</v>
      </c>
      <c r="K188" s="360">
        <f t="shared" ca="1" si="73"/>
        <v>117.61140321300827</v>
      </c>
      <c r="L188" s="357">
        <f t="shared" ca="1" si="58"/>
        <v>120.09970164416777</v>
      </c>
      <c r="M188" s="359">
        <f t="shared" ca="1" si="74"/>
        <v>1.3531084142434615</v>
      </c>
      <c r="N188" s="357">
        <f t="shared" ca="1" si="75"/>
        <v>77.527401359789835</v>
      </c>
      <c r="O188" s="343"/>
      <c r="P188" s="363">
        <f t="shared" ca="1" si="76"/>
        <v>5</v>
      </c>
      <c r="Q188" s="357">
        <f t="shared" ca="1" si="77"/>
        <v>610.0899999999998</v>
      </c>
      <c r="R188" s="359">
        <f t="shared" ca="1" si="78"/>
        <v>0.30617574585715868</v>
      </c>
      <c r="S188" s="360">
        <f t="shared" ca="1" si="79"/>
        <v>9.0064082747027996</v>
      </c>
      <c r="T188" s="357">
        <f t="shared" ca="1" si="59"/>
        <v>88.352865174834463</v>
      </c>
      <c r="U188" s="364">
        <f t="shared" ca="1" si="60"/>
        <v>0</v>
      </c>
      <c r="V188" s="359">
        <f t="shared" ca="1" si="61"/>
        <v>1.2106768315036718</v>
      </c>
      <c r="W188" s="357">
        <f t="shared" ca="1" si="62"/>
        <v>42.139826355212122</v>
      </c>
      <c r="X188" s="343"/>
      <c r="Y188" s="367" t="str">
        <f t="shared" ca="1" si="80"/>
        <v/>
      </c>
      <c r="Z188" s="368" t="str">
        <f t="shared" ca="1" si="81"/>
        <v/>
      </c>
      <c r="AA188" s="369" t="str">
        <f t="shared" ca="1" si="82"/>
        <v/>
      </c>
      <c r="AB188" s="344"/>
      <c r="AC188" s="363" t="e">
        <f t="shared" ca="1" si="83"/>
        <v>#N/A</v>
      </c>
      <c r="AD188" s="376" t="e">
        <f t="shared" ca="1" si="84"/>
        <v>#N/A</v>
      </c>
      <c r="AE188" s="377">
        <f t="shared" ca="1" si="63"/>
        <v>117.61140321300827</v>
      </c>
      <c r="AF188" s="344"/>
      <c r="AG188" s="359">
        <f t="shared" ca="1" si="85"/>
        <v>53.52157495331322</v>
      </c>
      <c r="AH188" s="357">
        <f t="shared" ca="1" si="86"/>
        <v>63.10041469834502</v>
      </c>
    </row>
    <row r="189" spans="1:34" x14ac:dyDescent="0.25">
      <c r="A189" s="402">
        <f t="shared" ca="1" si="64"/>
        <v>0.01</v>
      </c>
      <c r="B189" s="357">
        <f t="shared" ca="1" si="65"/>
        <v>1.8500000000000014</v>
      </c>
      <c r="C189" s="342"/>
      <c r="D189" s="359">
        <f t="shared" ca="1" si="66"/>
        <v>13.588980727414532</v>
      </c>
      <c r="E189" s="360">
        <f t="shared" ca="1" si="67"/>
        <v>51.624958443863626</v>
      </c>
      <c r="F189" s="357">
        <f t="shared" ca="1" si="68"/>
        <v>53.383487442660481</v>
      </c>
      <c r="G189" s="359">
        <f t="shared" ca="1" si="69"/>
        <v>26.917782569898531</v>
      </c>
      <c r="H189" s="360">
        <f t="shared" ca="1" si="70"/>
        <v>121.59556391450521</v>
      </c>
      <c r="I189" s="357">
        <f t="shared" ca="1" si="71"/>
        <v>124.53934391254377</v>
      </c>
      <c r="J189" s="359">
        <f t="shared" ca="1" si="72"/>
        <v>24.58919263659892</v>
      </c>
      <c r="K189" s="360">
        <f t="shared" ca="1" si="73"/>
        <v>118.82477760423113</v>
      </c>
      <c r="L189" s="357">
        <f t="shared" ca="1" si="58"/>
        <v>121.34230988082746</v>
      </c>
      <c r="M189" s="359">
        <f t="shared" ca="1" si="74"/>
        <v>1.3529382919391648</v>
      </c>
      <c r="N189" s="357">
        <f t="shared" ca="1" si="75"/>
        <v>77.517654069752595</v>
      </c>
      <c r="O189" s="343"/>
      <c r="P189" s="363">
        <f t="shared" ca="1" si="76"/>
        <v>5</v>
      </c>
      <c r="Q189" s="357">
        <f t="shared" ca="1" si="77"/>
        <v>608.62999999999977</v>
      </c>
      <c r="R189" s="359">
        <f t="shared" ca="1" si="78"/>
        <v>0.3054430398810708</v>
      </c>
      <c r="S189" s="360">
        <f t="shared" ca="1" si="79"/>
        <v>9.0033538443039891</v>
      </c>
      <c r="T189" s="357">
        <f t="shared" ca="1" si="59"/>
        <v>88.322901212622142</v>
      </c>
      <c r="U189" s="364">
        <f t="shared" ca="1" si="60"/>
        <v>0</v>
      </c>
      <c r="V189" s="359">
        <f t="shared" ca="1" si="61"/>
        <v>1.2105299348571081</v>
      </c>
      <c r="W189" s="357">
        <f t="shared" ca="1" si="62"/>
        <v>42.497981025619715</v>
      </c>
      <c r="X189" s="343"/>
      <c r="Y189" s="367" t="str">
        <f t="shared" ca="1" si="80"/>
        <v/>
      </c>
      <c r="Z189" s="368" t="str">
        <f t="shared" ca="1" si="81"/>
        <v/>
      </c>
      <c r="AA189" s="369" t="str">
        <f t="shared" ca="1" si="82"/>
        <v/>
      </c>
      <c r="AB189" s="344"/>
      <c r="AC189" s="363" t="e">
        <f t="shared" ca="1" si="83"/>
        <v>#N/A</v>
      </c>
      <c r="AD189" s="376" t="e">
        <f t="shared" ca="1" si="84"/>
        <v>#N/A</v>
      </c>
      <c r="AE189" s="377">
        <f t="shared" ca="1" si="63"/>
        <v>118.82477760423113</v>
      </c>
      <c r="AF189" s="344"/>
      <c r="AG189" s="359">
        <f t="shared" ca="1" si="85"/>
        <v>53.34142738739267</v>
      </c>
      <c r="AH189" s="357">
        <f t="shared" ca="1" si="86"/>
        <v>62.919905564211511</v>
      </c>
    </row>
    <row r="190" spans="1:34" x14ac:dyDescent="0.25">
      <c r="A190" s="402">
        <f t="shared" ca="1" si="64"/>
        <v>0.01</v>
      </c>
      <c r="B190" s="357">
        <f t="shared" ca="1" si="65"/>
        <v>1.8600000000000014</v>
      </c>
      <c r="C190" s="342"/>
      <c r="D190" s="359">
        <f t="shared" ca="1" si="66"/>
        <v>13.560373888814505</v>
      </c>
      <c r="E190" s="360">
        <f t="shared" ca="1" si="67"/>
        <v>51.446208813642542</v>
      </c>
      <c r="F190" s="357">
        <f t="shared" ca="1" si="68"/>
        <v>53.203347087390597</v>
      </c>
      <c r="G190" s="359">
        <f t="shared" ca="1" si="69"/>
        <v>27.053386308786678</v>
      </c>
      <c r="H190" s="360">
        <f t="shared" ca="1" si="70"/>
        <v>122.11002600264163</v>
      </c>
      <c r="I190" s="357">
        <f t="shared" ca="1" si="71"/>
        <v>125.07095650525049</v>
      </c>
      <c r="J190" s="359">
        <f t="shared" ca="1" si="72"/>
        <v>24.859048480992346</v>
      </c>
      <c r="K190" s="360">
        <f t="shared" ca="1" si="73"/>
        <v>120.04330555381686</v>
      </c>
      <c r="L190" s="357">
        <f t="shared" ca="1" si="58"/>
        <v>122.5902422693885</v>
      </c>
      <c r="M190" s="359">
        <f t="shared" ca="1" si="74"/>
        <v>1.3527687624530638</v>
      </c>
      <c r="N190" s="357">
        <f t="shared" ca="1" si="75"/>
        <v>77.507940745695976</v>
      </c>
      <c r="O190" s="343"/>
      <c r="P190" s="363">
        <f t="shared" ca="1" si="76"/>
        <v>5</v>
      </c>
      <c r="Q190" s="357">
        <f t="shared" ca="1" si="77"/>
        <v>607.16999999999973</v>
      </c>
      <c r="R190" s="359">
        <f t="shared" ca="1" si="78"/>
        <v>0.30471033390498292</v>
      </c>
      <c r="S190" s="360">
        <f t="shared" ca="1" si="79"/>
        <v>9.0003067409649393</v>
      </c>
      <c r="T190" s="357">
        <f t="shared" ca="1" si="59"/>
        <v>88.293009128866061</v>
      </c>
      <c r="U190" s="364">
        <f t="shared" ca="1" si="60"/>
        <v>0</v>
      </c>
      <c r="V190" s="359">
        <f t="shared" ca="1" si="61"/>
        <v>1.2103824321279832</v>
      </c>
      <c r="W190" s="357">
        <f t="shared" ca="1" si="62"/>
        <v>42.856349179099766</v>
      </c>
      <c r="X190" s="343"/>
      <c r="Y190" s="367" t="str">
        <f t="shared" ca="1" si="80"/>
        <v/>
      </c>
      <c r="Z190" s="368" t="str">
        <f t="shared" ca="1" si="81"/>
        <v/>
      </c>
      <c r="AA190" s="369" t="str">
        <f t="shared" ca="1" si="82"/>
        <v/>
      </c>
      <c r="AB190" s="344"/>
      <c r="AC190" s="363" t="e">
        <f t="shared" ca="1" si="83"/>
        <v>#N/A</v>
      </c>
      <c r="AD190" s="376" t="e">
        <f t="shared" ca="1" si="84"/>
        <v>#N/A</v>
      </c>
      <c r="AE190" s="377">
        <f t="shared" ca="1" si="63"/>
        <v>120.04330555381686</v>
      </c>
      <c r="AF190" s="344"/>
      <c r="AG190" s="359">
        <f t="shared" ca="1" si="85"/>
        <v>53.161079542165872</v>
      </c>
      <c r="AH190" s="357">
        <f t="shared" ca="1" si="86"/>
        <v>62.739197143612067</v>
      </c>
    </row>
    <row r="191" spans="1:34" x14ac:dyDescent="0.25">
      <c r="A191" s="402">
        <f t="shared" ca="1" si="64"/>
        <v>0.01</v>
      </c>
      <c r="B191" s="357">
        <f t="shared" ca="1" si="65"/>
        <v>1.8700000000000014</v>
      </c>
      <c r="C191" s="342"/>
      <c r="D191" s="359">
        <f t="shared" ca="1" si="66"/>
        <v>13.531627790242737</v>
      </c>
      <c r="E191" s="360">
        <f t="shared" ca="1" si="67"/>
        <v>51.267286313245833</v>
      </c>
      <c r="F191" s="357">
        <f t="shared" ca="1" si="68"/>
        <v>53.023010067120794</v>
      </c>
      <c r="G191" s="359">
        <f t="shared" ca="1" si="69"/>
        <v>27.188702586689104</v>
      </c>
      <c r="H191" s="360">
        <f t="shared" ca="1" si="70"/>
        <v>122.6226988657741</v>
      </c>
      <c r="I191" s="357">
        <f t="shared" ca="1" si="71"/>
        <v>125.60076363411868</v>
      </c>
      <c r="J191" s="359">
        <f t="shared" ca="1" si="72"/>
        <v>25.130258925469725</v>
      </c>
      <c r="K191" s="360">
        <f t="shared" ca="1" si="73"/>
        <v>121.26696917815894</v>
      </c>
      <c r="L191" s="357">
        <f t="shared" ca="1" si="58"/>
        <v>123.84348076228196</v>
      </c>
      <c r="M191" s="359">
        <f t="shared" ca="1" si="74"/>
        <v>1.3525998187954245</v>
      </c>
      <c r="N191" s="357">
        <f t="shared" ca="1" si="75"/>
        <v>77.498260987137741</v>
      </c>
      <c r="O191" s="343"/>
      <c r="P191" s="363">
        <f t="shared" ca="1" si="76"/>
        <v>5</v>
      </c>
      <c r="Q191" s="357">
        <f t="shared" ca="1" si="77"/>
        <v>605.70999999999981</v>
      </c>
      <c r="R191" s="359">
        <f t="shared" ca="1" si="78"/>
        <v>0.30397762792889504</v>
      </c>
      <c r="S191" s="360">
        <f t="shared" ca="1" si="79"/>
        <v>8.9972669646856502</v>
      </c>
      <c r="T191" s="357">
        <f t="shared" ca="1" si="59"/>
        <v>88.263188923566233</v>
      </c>
      <c r="U191" s="364">
        <f t="shared" ca="1" si="60"/>
        <v>0</v>
      </c>
      <c r="V191" s="359">
        <f t="shared" ca="1" si="61"/>
        <v>1.2102343257041619</v>
      </c>
      <c r="W191" s="357">
        <f t="shared" ca="1" si="62"/>
        <v>43.214913115592694</v>
      </c>
      <c r="X191" s="343"/>
      <c r="Y191" s="367" t="str">
        <f t="shared" ca="1" si="80"/>
        <v/>
      </c>
      <c r="Z191" s="368" t="str">
        <f t="shared" ca="1" si="81"/>
        <v/>
      </c>
      <c r="AA191" s="369" t="str">
        <f t="shared" ca="1" si="82"/>
        <v/>
      </c>
      <c r="AB191" s="344"/>
      <c r="AC191" s="363" t="e">
        <f t="shared" ca="1" si="83"/>
        <v>#N/A</v>
      </c>
      <c r="AD191" s="376" t="e">
        <f t="shared" ca="1" si="84"/>
        <v>#N/A</v>
      </c>
      <c r="AE191" s="377">
        <f t="shared" ca="1" si="63"/>
        <v>121.26696917815894</v>
      </c>
      <c r="AF191" s="344"/>
      <c r="AG191" s="359">
        <f t="shared" ca="1" si="85"/>
        <v>52.980533642223307</v>
      </c>
      <c r="AH191" s="357">
        <f t="shared" ca="1" si="86"/>
        <v>62.558291649020248</v>
      </c>
    </row>
    <row r="192" spans="1:34" x14ac:dyDescent="0.25">
      <c r="A192" s="402">
        <f t="shared" ca="1" si="64"/>
        <v>0.01</v>
      </c>
      <c r="B192" s="357">
        <f t="shared" ca="1" si="65"/>
        <v>1.8800000000000014</v>
      </c>
      <c r="C192" s="342"/>
      <c r="D192" s="359">
        <f t="shared" ca="1" si="66"/>
        <v>13.502743559231323</v>
      </c>
      <c r="E192" s="360">
        <f t="shared" ca="1" si="67"/>
        <v>51.088192991967283</v>
      </c>
      <c r="F192" s="357">
        <f t="shared" ca="1" si="68"/>
        <v>52.842478621000154</v>
      </c>
      <c r="G192" s="359">
        <f t="shared" ca="1" si="69"/>
        <v>27.323730022281417</v>
      </c>
      <c r="H192" s="360">
        <f t="shared" ca="1" si="70"/>
        <v>123.13358079569377</v>
      </c>
      <c r="I192" s="357">
        <f t="shared" ca="1" si="71"/>
        <v>126.1287633408818</v>
      </c>
      <c r="J192" s="359">
        <f t="shared" ca="1" si="72"/>
        <v>25.402821088514578</v>
      </c>
      <c r="K192" s="360">
        <f t="shared" ca="1" si="73"/>
        <v>122.49575057646628</v>
      </c>
      <c r="L192" s="357">
        <f t="shared" ca="1" si="58"/>
        <v>125.10200729223699</v>
      </c>
      <c r="M192" s="359">
        <f t="shared" ca="1" si="74"/>
        <v>1.3524314540817832</v>
      </c>
      <c r="N192" s="357">
        <f t="shared" ca="1" si="75"/>
        <v>77.488614399627167</v>
      </c>
      <c r="O192" s="343"/>
      <c r="P192" s="363">
        <f t="shared" ca="1" si="76"/>
        <v>5</v>
      </c>
      <c r="Q192" s="357">
        <f t="shared" ca="1" si="77"/>
        <v>604.24999999999977</v>
      </c>
      <c r="R192" s="359">
        <f t="shared" ca="1" si="78"/>
        <v>0.30324492195280717</v>
      </c>
      <c r="S192" s="360">
        <f t="shared" ca="1" si="79"/>
        <v>8.9942345154661218</v>
      </c>
      <c r="T192" s="357">
        <f t="shared" ca="1" si="59"/>
        <v>88.233440596722659</v>
      </c>
      <c r="U192" s="364">
        <f t="shared" ca="1" si="60"/>
        <v>0</v>
      </c>
      <c r="V192" s="359">
        <f t="shared" ca="1" si="61"/>
        <v>1.2100856179754074</v>
      </c>
      <c r="W192" s="357">
        <f t="shared" ca="1" si="62"/>
        <v>43.573655191318124</v>
      </c>
      <c r="X192" s="343"/>
      <c r="Y192" s="367" t="str">
        <f t="shared" ca="1" si="80"/>
        <v/>
      </c>
      <c r="Z192" s="368" t="str">
        <f t="shared" ca="1" si="81"/>
        <v/>
      </c>
      <c r="AA192" s="369" t="str">
        <f t="shared" ca="1" si="82"/>
        <v/>
      </c>
      <c r="AB192" s="344"/>
      <c r="AC192" s="363" t="e">
        <f t="shared" ca="1" si="83"/>
        <v>#N/A</v>
      </c>
      <c r="AD192" s="376" t="e">
        <f t="shared" ca="1" si="84"/>
        <v>#N/A</v>
      </c>
      <c r="AE192" s="377">
        <f t="shared" ca="1" si="63"/>
        <v>122.49575057646628</v>
      </c>
      <c r="AF192" s="344"/>
      <c r="AG192" s="359">
        <f t="shared" ca="1" si="85"/>
        <v>52.799791909747334</v>
      </c>
      <c r="AH192" s="357">
        <f t="shared" ca="1" si="86"/>
        <v>62.377191290673359</v>
      </c>
    </row>
    <row r="193" spans="1:34" x14ac:dyDescent="0.25">
      <c r="A193" s="402">
        <f t="shared" ca="1" si="64"/>
        <v>0.01</v>
      </c>
      <c r="B193" s="357">
        <f t="shared" ca="1" si="65"/>
        <v>1.8900000000000015</v>
      </c>
      <c r="C193" s="342"/>
      <c r="D193" s="359">
        <f t="shared" ca="1" si="66"/>
        <v>13.473722313498603</v>
      </c>
      <c r="E193" s="360">
        <f t="shared" ca="1" si="67"/>
        <v>50.90893089834438</v>
      </c>
      <c r="F193" s="357">
        <f t="shared" ca="1" si="68"/>
        <v>52.661754985887754</v>
      </c>
      <c r="G193" s="359">
        <f t="shared" ca="1" si="69"/>
        <v>27.458467245416404</v>
      </c>
      <c r="H193" s="360">
        <f t="shared" ca="1" si="70"/>
        <v>123.64267010467722</v>
      </c>
      <c r="I193" s="357">
        <f t="shared" ca="1" si="71"/>
        <v>126.65495368946944</v>
      </c>
      <c r="J193" s="359">
        <f t="shared" ca="1" si="72"/>
        <v>25.676732074853067</v>
      </c>
      <c r="K193" s="360">
        <f t="shared" ca="1" si="73"/>
        <v>123.72963183096813</v>
      </c>
      <c r="L193" s="357">
        <f t="shared" ca="1" si="58"/>
        <v>126.36580377250291</v>
      </c>
      <c r="M193" s="359">
        <f t="shared" ca="1" si="74"/>
        <v>1.3522636615307446</v>
      </c>
      <c r="N193" s="357">
        <f t="shared" ca="1" si="75"/>
        <v>77.479000594618924</v>
      </c>
      <c r="O193" s="343"/>
      <c r="P193" s="363">
        <f t="shared" ca="1" si="76"/>
        <v>5</v>
      </c>
      <c r="Q193" s="357">
        <f t="shared" ca="1" si="77"/>
        <v>602.78999999999974</v>
      </c>
      <c r="R193" s="359">
        <f t="shared" ca="1" si="78"/>
        <v>0.30251221597671929</v>
      </c>
      <c r="S193" s="360">
        <f t="shared" ca="1" si="79"/>
        <v>8.9912093933063542</v>
      </c>
      <c r="T193" s="357">
        <f t="shared" ca="1" si="59"/>
        <v>88.203764148335338</v>
      </c>
      <c r="U193" s="364">
        <f t="shared" ca="1" si="60"/>
        <v>0</v>
      </c>
      <c r="V193" s="359">
        <f t="shared" ca="1" si="61"/>
        <v>1.2099363113333437</v>
      </c>
      <c r="W193" s="357">
        <f t="shared" ca="1" si="62"/>
        <v>43.932557819338044</v>
      </c>
      <c r="X193" s="343"/>
      <c r="Y193" s="367" t="str">
        <f t="shared" ca="1" si="80"/>
        <v/>
      </c>
      <c r="Z193" s="368" t="str">
        <f t="shared" ca="1" si="81"/>
        <v/>
      </c>
      <c r="AA193" s="369" t="str">
        <f t="shared" ca="1" si="82"/>
        <v/>
      </c>
      <c r="AB193" s="344"/>
      <c r="AC193" s="363" t="e">
        <f t="shared" ca="1" si="83"/>
        <v>#N/A</v>
      </c>
      <c r="AD193" s="376" t="e">
        <f t="shared" ca="1" si="84"/>
        <v>#N/A</v>
      </c>
      <c r="AE193" s="377">
        <f t="shared" ca="1" si="63"/>
        <v>123.72963183096813</v>
      </c>
      <c r="AF193" s="344"/>
      <c r="AG193" s="359">
        <f t="shared" ca="1" si="85"/>
        <v>52.61885656443085</v>
      </c>
      <c r="AH193" s="357">
        <f t="shared" ca="1" si="86"/>
        <v>62.195898276487576</v>
      </c>
    </row>
    <row r="194" spans="1:34" x14ac:dyDescent="0.25">
      <c r="A194" s="402">
        <f t="shared" ca="1" si="64"/>
        <v>0.01</v>
      </c>
      <c r="B194" s="357">
        <f t="shared" ca="1" si="65"/>
        <v>1.9000000000000015</v>
      </c>
      <c r="C194" s="342"/>
      <c r="D194" s="359">
        <f t="shared" ca="1" si="66"/>
        <v>13.444565161132063</v>
      </c>
      <c r="E194" s="360">
        <f t="shared" ca="1" si="67"/>
        <v>50.729502080043311</v>
      </c>
      <c r="F194" s="357">
        <f t="shared" ca="1" si="68"/>
        <v>52.480841396275693</v>
      </c>
      <c r="G194" s="359">
        <f t="shared" ca="1" si="69"/>
        <v>27.592912897027723</v>
      </c>
      <c r="H194" s="360">
        <f t="shared" ca="1" si="70"/>
        <v>124.14996512547765</v>
      </c>
      <c r="I194" s="357">
        <f t="shared" ca="1" si="71"/>
        <v>127.17933276598158</v>
      </c>
      <c r="J194" s="359">
        <f t="shared" ca="1" si="72"/>
        <v>25.951988975565289</v>
      </c>
      <c r="K194" s="360">
        <f t="shared" ca="1" si="73"/>
        <v>124.96859500711891</v>
      </c>
      <c r="L194" s="357">
        <f t="shared" ca="1" si="58"/>
        <v>127.6348520970709</v>
      </c>
      <c r="M194" s="359">
        <f t="shared" ca="1" si="74"/>
        <v>1.352096434461838</v>
      </c>
      <c r="N194" s="357">
        <f t="shared" ca="1" si="75"/>
        <v>77.469419189350234</v>
      </c>
      <c r="O194" s="343"/>
      <c r="P194" s="363">
        <f t="shared" ca="1" si="76"/>
        <v>5</v>
      </c>
      <c r="Q194" s="357">
        <f t="shared" ca="1" si="77"/>
        <v>601.32999999999981</v>
      </c>
      <c r="R194" s="359">
        <f t="shared" ca="1" si="78"/>
        <v>0.30177951000063147</v>
      </c>
      <c r="S194" s="360">
        <f t="shared" ca="1" si="79"/>
        <v>8.9881915982063472</v>
      </c>
      <c r="T194" s="357">
        <f t="shared" ca="1" si="59"/>
        <v>88.174159578404272</v>
      </c>
      <c r="U194" s="364">
        <f t="shared" ca="1" si="60"/>
        <v>0</v>
      </c>
      <c r="V194" s="359">
        <f t="shared" ca="1" si="61"/>
        <v>1.2097864081714196</v>
      </c>
      <c r="W194" s="357">
        <f t="shared" ca="1" si="62"/>
        <v>44.291603470114602</v>
      </c>
      <c r="X194" s="343"/>
      <c r="Y194" s="367" t="str">
        <f t="shared" ca="1" si="80"/>
        <v/>
      </c>
      <c r="Z194" s="368" t="str">
        <f t="shared" ca="1" si="81"/>
        <v/>
      </c>
      <c r="AA194" s="369" t="str">
        <f t="shared" ca="1" si="82"/>
        <v/>
      </c>
      <c r="AB194" s="344"/>
      <c r="AC194" s="363" t="e">
        <f t="shared" ca="1" si="83"/>
        <v>#N/A</v>
      </c>
      <c r="AD194" s="376" t="e">
        <f t="shared" ca="1" si="84"/>
        <v>#N/A</v>
      </c>
      <c r="AE194" s="377">
        <f t="shared" ca="1" si="63"/>
        <v>124.96859500711891</v>
      </c>
      <c r="AF194" s="344"/>
      <c r="AG194" s="359">
        <f t="shared" ca="1" si="85"/>
        <v>52.437729823396097</v>
      </c>
      <c r="AH194" s="357">
        <f t="shared" ca="1" si="86"/>
        <v>62.01441481197331</v>
      </c>
    </row>
    <row r="195" spans="1:34" x14ac:dyDescent="0.25">
      <c r="A195" s="402">
        <f t="shared" ca="1" si="64"/>
        <v>0.01</v>
      </c>
      <c r="B195" s="357">
        <f t="shared" ca="1" si="65"/>
        <v>1.9100000000000015</v>
      </c>
      <c r="C195" s="342"/>
      <c r="D195" s="359">
        <f t="shared" ca="1" si="66"/>
        <v>13.415273200765878</v>
      </c>
      <c r="E195" s="360">
        <f t="shared" ca="1" si="67"/>
        <v>50.549908583745271</v>
      </c>
      <c r="F195" s="357">
        <f t="shared" ca="1" si="68"/>
        <v>52.299740084212566</v>
      </c>
      <c r="G195" s="359">
        <f t="shared" ca="1" si="69"/>
        <v>27.727065629035383</v>
      </c>
      <c r="H195" s="360">
        <f t="shared" ca="1" si="70"/>
        <v>124.65546421131511</v>
      </c>
      <c r="I195" s="357">
        <f t="shared" ca="1" si="71"/>
        <v>127.70189867866216</v>
      </c>
      <c r="J195" s="359">
        <f t="shared" ca="1" si="72"/>
        <v>26.228588868195605</v>
      </c>
      <c r="K195" s="360">
        <f t="shared" ca="1" si="73"/>
        <v>126.21262215380287</v>
      </c>
      <c r="L195" s="357">
        <f t="shared" ca="1" si="58"/>
        <v>128.90913414089573</v>
      </c>
      <c r="M195" s="359">
        <f t="shared" ca="1" si="74"/>
        <v>1.3519297662934258</v>
      </c>
      <c r="N195" s="357">
        <f t="shared" ca="1" si="75"/>
        <v>77.459869806721031</v>
      </c>
      <c r="O195" s="343"/>
      <c r="P195" s="363">
        <f t="shared" ca="1" si="76"/>
        <v>5</v>
      </c>
      <c r="Q195" s="357">
        <f t="shared" ca="1" si="77"/>
        <v>599.86999999999978</v>
      </c>
      <c r="R195" s="359">
        <f t="shared" ca="1" si="78"/>
        <v>0.30104680402454354</v>
      </c>
      <c r="S195" s="360">
        <f t="shared" ca="1" si="79"/>
        <v>8.9851811301661009</v>
      </c>
      <c r="T195" s="357">
        <f t="shared" ca="1" si="59"/>
        <v>88.144626886929458</v>
      </c>
      <c r="U195" s="364">
        <f t="shared" ca="1" si="60"/>
        <v>0</v>
      </c>
      <c r="V195" s="359">
        <f t="shared" ca="1" si="61"/>
        <v>1.2096359108848707</v>
      </c>
      <c r="W195" s="357">
        <f t="shared" ca="1" si="62"/>
        <v>44.650774672062163</v>
      </c>
      <c r="X195" s="343"/>
      <c r="Y195" s="367" t="str">
        <f t="shared" ca="1" si="80"/>
        <v/>
      </c>
      <c r="Z195" s="368" t="str">
        <f t="shared" ca="1" si="81"/>
        <v/>
      </c>
      <c r="AA195" s="369" t="str">
        <f t="shared" ca="1" si="82"/>
        <v/>
      </c>
      <c r="AB195" s="344"/>
      <c r="AC195" s="363" t="e">
        <f t="shared" ca="1" si="83"/>
        <v>#N/A</v>
      </c>
      <c r="AD195" s="376" t="e">
        <f t="shared" ca="1" si="84"/>
        <v>#N/A</v>
      </c>
      <c r="AE195" s="377">
        <f t="shared" ca="1" si="63"/>
        <v>126.21262215380287</v>
      </c>
      <c r="AF195" s="344"/>
      <c r="AG195" s="359">
        <f t="shared" ca="1" si="85"/>
        <v>52.256413901113838</v>
      </c>
      <c r="AH195" s="357">
        <f t="shared" ca="1" si="86"/>
        <v>61.832743100151021</v>
      </c>
    </row>
    <row r="196" spans="1:34" x14ac:dyDescent="0.25">
      <c r="A196" s="402">
        <f t="shared" ca="1" si="64"/>
        <v>0.01</v>
      </c>
      <c r="B196" s="357">
        <f t="shared" ca="1" si="65"/>
        <v>1.9200000000000015</v>
      </c>
      <c r="C196" s="342"/>
      <c r="D196" s="359">
        <f t="shared" ca="1" si="66"/>
        <v>13.385847521753689</v>
      </c>
      <c r="E196" s="360">
        <f t="shared" ca="1" si="67"/>
        <v>50.370152455034209</v>
      </c>
      <c r="F196" s="357">
        <f t="shared" ca="1" si="68"/>
        <v>52.11845327922758</v>
      </c>
      <c r="G196" s="359">
        <f t="shared" ca="1" si="69"/>
        <v>27.86092410425292</v>
      </c>
      <c r="H196" s="360">
        <f t="shared" ca="1" si="70"/>
        <v>125.15916573586544</v>
      </c>
      <c r="I196" s="357">
        <f t="shared" ca="1" si="71"/>
        <v>128.2226495578717</v>
      </c>
      <c r="J196" s="359">
        <f t="shared" ca="1" si="72"/>
        <v>26.506528816862048</v>
      </c>
      <c r="K196" s="360">
        <f t="shared" ca="1" si="73"/>
        <v>127.46169530353878</v>
      </c>
      <c r="L196" s="357">
        <f t="shared" ref="L196:L259" ca="1" si="87">SQRT(pos_x^2+pos_z^2)</f>
        <v>130.18863176011681</v>
      </c>
      <c r="M196" s="359">
        <f t="shared" ca="1" si="74"/>
        <v>1.3517636505406692</v>
      </c>
      <c r="N196" s="357">
        <f t="shared" ca="1" si="75"/>
        <v>77.450352075177449</v>
      </c>
      <c r="O196" s="343"/>
      <c r="P196" s="363">
        <f t="shared" ca="1" si="76"/>
        <v>5</v>
      </c>
      <c r="Q196" s="357">
        <f t="shared" ca="1" si="77"/>
        <v>598.40999999999974</v>
      </c>
      <c r="R196" s="359">
        <f t="shared" ca="1" si="78"/>
        <v>0.30031409804845566</v>
      </c>
      <c r="S196" s="360">
        <f t="shared" ca="1" si="79"/>
        <v>8.9821779891856171</v>
      </c>
      <c r="T196" s="357">
        <f t="shared" ref="T196:T259" ca="1" si="88">m*g</f>
        <v>88.115166073910913</v>
      </c>
      <c r="U196" s="364">
        <f t="shared" ref="U196:U259" ca="1" si="89">IF(pos_xz&lt;L_rampe,Poids*COS(Beta),0)</f>
        <v>0</v>
      </c>
      <c r="V196" s="359">
        <f t="shared" ref="V196:V259" ca="1" si="90">Rho_moyen*(20000-Alt_rampe-pos_z)/(20000+Alt_rampe+pos_z)</f>
        <v>1.2094848218706813</v>
      </c>
      <c r="W196" s="357">
        <f t="shared" ref="W196:W259" ca="1" si="91">1/2*Rho*Sref*Cx*vit_xz^2</f>
        <v>45.010054012093889</v>
      </c>
      <c r="X196" s="343"/>
      <c r="Y196" s="367" t="str">
        <f t="shared" ca="1" si="80"/>
        <v/>
      </c>
      <c r="Z196" s="368" t="str">
        <f t="shared" ca="1" si="81"/>
        <v/>
      </c>
      <c r="AA196" s="369" t="str">
        <f t="shared" ca="1" si="82"/>
        <v/>
      </c>
      <c r="AB196" s="344"/>
      <c r="AC196" s="363" t="e">
        <f t="shared" ca="1" si="83"/>
        <v>#N/A</v>
      </c>
      <c r="AD196" s="376" t="e">
        <f t="shared" ca="1" si="84"/>
        <v>#N/A</v>
      </c>
      <c r="AE196" s="377">
        <f t="shared" ref="AE196:AE259" ca="1" si="92">IF(t&lt;T_para, pos_z, NA())</f>
        <v>127.46169530353878</v>
      </c>
      <c r="AF196" s="344"/>
      <c r="AG196" s="359">
        <f t="shared" ca="1" si="85"/>
        <v>52.074911009323102</v>
      </c>
      <c r="AH196" s="357">
        <f t="shared" ca="1" si="86"/>
        <v>61.65088534146772</v>
      </c>
    </row>
    <row r="197" spans="1:34" x14ac:dyDescent="0.25">
      <c r="A197" s="402">
        <f t="shared" ref="A197:A260" ca="1" si="93">IF(B196+0.01&lt;=T_ini+ROUNDUP(Temps_fin_propu,0), 0.01, IF(K196&gt;0, 0.1, 0.0001))</f>
        <v>0.01</v>
      </c>
      <c r="B197" s="357">
        <f t="shared" ref="B197:B260" ca="1" si="94">B196+pas</f>
        <v>1.9300000000000015</v>
      </c>
      <c r="C197" s="342"/>
      <c r="D197" s="359">
        <f t="shared" ref="D197:D260" ca="1" si="95">IF(AND(L196&lt;L_rampe,Poussee&lt;Poids*SIN(M196)),0,(-W196+Poussee)/m*COS(M196)-U196/m*SIN(M196))</f>
        <v>13.35628920433617</v>
      </c>
      <c r="E197" s="360">
        <f t="shared" ref="E197:E260" ca="1" si="96">IF(AND(L196&lt;L_rampe,Poussee&lt;Poids*SIN(M196)),0,(-W196+Poussee)/m*SIN(M196)+U196/m*COS(M196)-Poids/m)</f>
        <v>50.190235738285708</v>
      </c>
      <c r="F197" s="357">
        <f t="shared" ref="F197:F260" ca="1" si="97">SQRT(acc_x^2+acc_z^2)</f>
        <v>51.936983208254972</v>
      </c>
      <c r="G197" s="359">
        <f t="shared" ref="G197:G260" ca="1" si="98">G196+acc_x*pas</f>
        <v>27.994486996296281</v>
      </c>
      <c r="H197" s="360">
        <f t="shared" ref="H197:H260" ca="1" si="99">H196+acc_z*pas</f>
        <v>125.6610680932483</v>
      </c>
      <c r="I197" s="357">
        <f t="shared" ref="I197:I260" ca="1" si="100">SQRT(vit_x^2+vit_z^2)</f>
        <v>128.74158355605925</v>
      </c>
      <c r="J197" s="359">
        <f t="shared" ref="J197:J260" ca="1" si="101">J196+0.5*(vit_x+G196)*pas*(K196&gt;=0)</f>
        <v>26.785805872364794</v>
      </c>
      <c r="K197" s="360">
        <f t="shared" ref="K197:K260" ca="1" si="102">K196+0.5*(vit_z+H196)*pas</f>
        <v>128.71579647268433</v>
      </c>
      <c r="L197" s="357">
        <f t="shared" ca="1" si="87"/>
        <v>131.47332679227947</v>
      </c>
      <c r="M197" s="359">
        <f t="shared" ref="M197:M260" ca="1" si="103">IF(AND(L196&gt;L_rampe,G197&gt;0),ATAN2(G197,H197),$M$4)</f>
        <v>1.3515980808135437</v>
      </c>
      <c r="N197" s="357">
        <f t="shared" ref="N197:N260" ca="1" si="104">DEGREES(Beta)</f>
        <v>77.440865628598019</v>
      </c>
      <c r="O197" s="343"/>
      <c r="P197" s="363">
        <f t="shared" ref="P197:P260" ca="1" si="105">MATCH(t-pas/2-T_ini,CdP_t)</f>
        <v>5</v>
      </c>
      <c r="Q197" s="357">
        <f t="shared" ref="Q197:Q260" ca="1" si="106">(INDEX(CdP,2,i_P+1)-INDEX(CdP,2,i_P+0))/(INDEX(CdP,1,i_P+1)-INDEX(CdP,1,i_P+0))*(t-pas/2-T_ini-INDEX(CdP,1,i_P+0))+INDEX(CdP,2,i_P+0)</f>
        <v>596.94999999999982</v>
      </c>
      <c r="R197" s="359">
        <f t="shared" ref="R197:R260" ca="1" si="107">Poussee/(g*ISP)</f>
        <v>0.29958139207236784</v>
      </c>
      <c r="S197" s="360">
        <f t="shared" ref="S197:S260" ca="1" si="108">S196-Débit*pas</f>
        <v>8.9791821752648939</v>
      </c>
      <c r="T197" s="357">
        <f t="shared" ca="1" si="88"/>
        <v>88.085777139348608</v>
      </c>
      <c r="U197" s="364">
        <f t="shared" ca="1" si="89"/>
        <v>0</v>
      </c>
      <c r="V197" s="359">
        <f t="shared" ca="1" si="90"/>
        <v>1.2093331435275501</v>
      </c>
      <c r="W197" s="357">
        <f t="shared" ca="1" si="91"/>
        <v>45.369424136162777</v>
      </c>
      <c r="X197" s="343"/>
      <c r="Y197" s="367" t="str">
        <f t="shared" ref="Y197:Y260" ca="1" si="109">IF(AND(pos_z&lt;=0,K196&gt;0),"Impact balistique","") &amp; IF(AND(H198&lt;0,vit_z&gt;=0),"Apogée","") &amp; IF(AND(Poussee=0,Q196&gt;0),"Fin de propulsion","") &amp; IF(AND(L198&gt;L_rampe,pos_xz&lt;=L_rampe),"Sortie de rampe","")</f>
        <v/>
      </c>
      <c r="Z197" s="368" t="str">
        <f t="shared" ref="Z197:Z260" ca="1" si="110">IF(ABS(t-T_para)&lt;pas/2,"Para","")</f>
        <v/>
      </c>
      <c r="AA197" s="369" t="str">
        <f t="shared" ref="AA197:AA260" ca="1" si="111">IF(ABS(t-T_satellite)&lt;pas/2,"Satellite","")</f>
        <v/>
      </c>
      <c r="AB197" s="344"/>
      <c r="AC197" s="363" t="e">
        <f t="shared" ref="AC197:AC260" ca="1" si="112">IF(ABS(t-ROUND(t,0))&lt;0.001,t,NA())</f>
        <v>#N/A</v>
      </c>
      <c r="AD197" s="376" t="e">
        <f t="shared" ref="AD197:AD260" ca="1" si="113">IF(ABS(t-ROUND(t,0))&lt;0.001,pos_x,NA())</f>
        <v>#N/A</v>
      </c>
      <c r="AE197" s="377">
        <f t="shared" ca="1" si="92"/>
        <v>128.71579647268433</v>
      </c>
      <c r="AF197" s="344"/>
      <c r="AG197" s="359">
        <f t="shared" ref="AG197:AG260" ca="1" si="114">IF(AND(L196&lt;L_rampe,Poussee&lt;Poids*SIN(M196)),0,(-W196+Poussee)/m-Poids*SIN(M196)/m)</f>
        <v>51.893223356951232</v>
      </c>
      <c r="AH197" s="357">
        <f t="shared" ref="AH197:AH260" ca="1" si="115">IF(AND(L196&lt;L_rampe,Poussee&lt;Poids*SIN(M196)), g*SIN(M196), (-W196+Poussee)/m)</f>
        <v>61.468843733713783</v>
      </c>
    </row>
    <row r="198" spans="1:34" x14ac:dyDescent="0.25">
      <c r="A198" s="402">
        <f t="shared" ca="1" si="93"/>
        <v>0.01</v>
      </c>
      <c r="B198" s="357">
        <f t="shared" ca="1" si="94"/>
        <v>1.9400000000000015</v>
      </c>
      <c r="C198" s="342"/>
      <c r="D198" s="359">
        <f t="shared" ca="1" si="95"/>
        <v>13.326599319804048</v>
      </c>
      <c r="E198" s="360">
        <f t="shared" ca="1" si="96"/>
        <v>50.010160476557061</v>
      </c>
      <c r="F198" s="357">
        <f t="shared" ca="1" si="97"/>
        <v>51.755332095558927</v>
      </c>
      <c r="G198" s="359">
        <f t="shared" ca="1" si="98"/>
        <v>28.127752989494322</v>
      </c>
      <c r="H198" s="360">
        <f t="shared" ca="1" si="99"/>
        <v>126.16116969801388</v>
      </c>
      <c r="I198" s="357">
        <f t="shared" ca="1" si="100"/>
        <v>129.25869884773351</v>
      </c>
      <c r="J198" s="359">
        <f t="shared" ca="1" si="101"/>
        <v>27.066417072293746</v>
      </c>
      <c r="K198" s="360">
        <f t="shared" ca="1" si="102"/>
        <v>129.97490766164066</v>
      </c>
      <c r="L198" s="357">
        <f t="shared" ca="1" si="87"/>
        <v>132.76320105655546</v>
      </c>
      <c r="M198" s="359">
        <f t="shared" ca="1" si="103"/>
        <v>1.3514330508149055</v>
      </c>
      <c r="N198" s="357">
        <f t="shared" ca="1" si="104"/>
        <v>77.431410106183009</v>
      </c>
      <c r="O198" s="343"/>
      <c r="P198" s="363">
        <f t="shared" ca="1" si="105"/>
        <v>5</v>
      </c>
      <c r="Q198" s="357">
        <f t="shared" ca="1" si="106"/>
        <v>595.48999999999978</v>
      </c>
      <c r="R198" s="359">
        <f t="shared" ca="1" si="107"/>
        <v>0.2988486860962799</v>
      </c>
      <c r="S198" s="360">
        <f t="shared" ca="1" si="108"/>
        <v>8.9761936884039315</v>
      </c>
      <c r="T198" s="357">
        <f t="shared" ca="1" si="88"/>
        <v>88.05646008324257</v>
      </c>
      <c r="U198" s="364">
        <f t="shared" ca="1" si="89"/>
        <v>0</v>
      </c>
      <c r="V198" s="359">
        <f t="shared" ca="1" si="90"/>
        <v>1.2091808782558486</v>
      </c>
      <c r="W198" s="357">
        <f t="shared" ca="1" si="91"/>
        <v>45.728867749797033</v>
      </c>
      <c r="X198" s="343"/>
      <c r="Y198" s="367" t="str">
        <f t="shared" ca="1" si="109"/>
        <v/>
      </c>
      <c r="Z198" s="368" t="str">
        <f t="shared" ca="1" si="110"/>
        <v/>
      </c>
      <c r="AA198" s="369" t="str">
        <f t="shared" ca="1" si="111"/>
        <v/>
      </c>
      <c r="AB198" s="344"/>
      <c r="AC198" s="363" t="e">
        <f t="shared" ca="1" si="112"/>
        <v>#N/A</v>
      </c>
      <c r="AD198" s="376" t="e">
        <f t="shared" ca="1" si="113"/>
        <v>#N/A</v>
      </c>
      <c r="AE198" s="377">
        <f t="shared" ca="1" si="92"/>
        <v>129.97490766164066</v>
      </c>
      <c r="AF198" s="344"/>
      <c r="AG198" s="359">
        <f t="shared" ca="1" si="114"/>
        <v>51.711353150034213</v>
      </c>
      <c r="AH198" s="357">
        <f t="shared" ca="1" si="115"/>
        <v>61.286620471940218</v>
      </c>
    </row>
    <row r="199" spans="1:34" x14ac:dyDescent="0.25">
      <c r="A199" s="402">
        <f t="shared" ca="1" si="93"/>
        <v>0.01</v>
      </c>
      <c r="B199" s="357">
        <f t="shared" ca="1" si="94"/>
        <v>1.9500000000000015</v>
      </c>
      <c r="C199" s="342"/>
      <c r="D199" s="359">
        <f t="shared" ca="1" si="95"/>
        <v>13.296778930656483</v>
      </c>
      <c r="E199" s="360">
        <f t="shared" ca="1" si="96"/>
        <v>49.82992871147885</v>
      </c>
      <c r="F199" s="357">
        <f t="shared" ca="1" si="97"/>
        <v>51.57350216265921</v>
      </c>
      <c r="G199" s="359">
        <f t="shared" ca="1" si="98"/>
        <v>28.260720778800888</v>
      </c>
      <c r="H199" s="360">
        <f t="shared" ca="1" si="99"/>
        <v>126.65946898512867</v>
      </c>
      <c r="I199" s="357">
        <f t="shared" ca="1" si="100"/>
        <v>129.77399362943299</v>
      </c>
      <c r="J199" s="359">
        <f t="shared" ca="1" si="101"/>
        <v>27.348359441135223</v>
      </c>
      <c r="K199" s="360">
        <f t="shared" ca="1" si="102"/>
        <v>131.23901085505636</v>
      </c>
      <c r="L199" s="357">
        <f t="shared" ca="1" si="87"/>
        <v>134.05823635396348</v>
      </c>
      <c r="M199" s="359">
        <f t="shared" ca="1" si="103"/>
        <v>1.3512685543386072</v>
      </c>
      <c r="N199" s="357">
        <f t="shared" ca="1" si="104"/>
        <v>77.421985152346338</v>
      </c>
      <c r="O199" s="343"/>
      <c r="P199" s="363">
        <f t="shared" ca="1" si="105"/>
        <v>5</v>
      </c>
      <c r="Q199" s="357">
        <f t="shared" ca="1" si="106"/>
        <v>594.02999999999975</v>
      </c>
      <c r="R199" s="359">
        <f t="shared" ca="1" si="107"/>
        <v>0.29811598012019203</v>
      </c>
      <c r="S199" s="360">
        <f t="shared" ca="1" si="108"/>
        <v>8.9732125286027298</v>
      </c>
      <c r="T199" s="357">
        <f t="shared" ca="1" si="88"/>
        <v>88.027214905592785</v>
      </c>
      <c r="U199" s="364">
        <f t="shared" ca="1" si="89"/>
        <v>0</v>
      </c>
      <c r="V199" s="359">
        <f t="shared" ca="1" si="90"/>
        <v>1.2090280284575872</v>
      </c>
      <c r="W199" s="357">
        <f t="shared" ca="1" si="91"/>
        <v>46.088367618629718</v>
      </c>
      <c r="X199" s="343"/>
      <c r="Y199" s="367" t="str">
        <f t="shared" ca="1" si="109"/>
        <v/>
      </c>
      <c r="Z199" s="368" t="str">
        <f t="shared" ca="1" si="110"/>
        <v/>
      </c>
      <c r="AA199" s="369" t="str">
        <f t="shared" ca="1" si="111"/>
        <v/>
      </c>
      <c r="AB199" s="344"/>
      <c r="AC199" s="363" t="e">
        <f t="shared" ca="1" si="112"/>
        <v>#N/A</v>
      </c>
      <c r="AD199" s="376" t="e">
        <f t="shared" ca="1" si="113"/>
        <v>#N/A</v>
      </c>
      <c r="AE199" s="377">
        <f t="shared" ca="1" si="92"/>
        <v>131.23901085505636</v>
      </c>
      <c r="AF199" s="344"/>
      <c r="AG199" s="359">
        <f t="shared" ca="1" si="114"/>
        <v>51.52930259163773</v>
      </c>
      <c r="AH199" s="357">
        <f t="shared" ca="1" si="115"/>
        <v>61.104217748376662</v>
      </c>
    </row>
    <row r="200" spans="1:34" x14ac:dyDescent="0.25">
      <c r="A200" s="402">
        <f t="shared" ca="1" si="93"/>
        <v>0.01</v>
      </c>
      <c r="B200" s="357">
        <f t="shared" ca="1" si="94"/>
        <v>1.9600000000000015</v>
      </c>
      <c r="C200" s="342"/>
      <c r="D200" s="359">
        <f t="shared" ca="1" si="95"/>
        <v>13.266829090754918</v>
      </c>
      <c r="E200" s="360">
        <f t="shared" ca="1" si="96"/>
        <v>49.649542483147329</v>
      </c>
      <c r="F200" s="357">
        <f t="shared" ca="1" si="97"/>
        <v>51.391495628256941</v>
      </c>
      <c r="G200" s="359">
        <f t="shared" ca="1" si="98"/>
        <v>28.393389069708437</v>
      </c>
      <c r="H200" s="360">
        <f t="shared" ca="1" si="99"/>
        <v>127.15596440996015</v>
      </c>
      <c r="I200" s="357">
        <f t="shared" ca="1" si="100"/>
        <v>130.28746611969584</v>
      </c>
      <c r="J200" s="359">
        <f t="shared" ca="1" si="101"/>
        <v>27.631629990377771</v>
      </c>
      <c r="K200" s="360">
        <f t="shared" ca="1" si="102"/>
        <v>132.50808802203181</v>
      </c>
      <c r="L200" s="357">
        <f t="shared" ca="1" si="87"/>
        <v>135.35841446758926</v>
      </c>
      <c r="M200" s="359">
        <f t="shared" ca="1" si="103"/>
        <v>1.3511045852676591</v>
      </c>
      <c r="N200" s="357">
        <f t="shared" ca="1" si="104"/>
        <v>77.412590416610328</v>
      </c>
      <c r="O200" s="343"/>
      <c r="P200" s="363">
        <f t="shared" ca="1" si="105"/>
        <v>5</v>
      </c>
      <c r="Q200" s="357">
        <f t="shared" ca="1" si="106"/>
        <v>592.56999999999971</v>
      </c>
      <c r="R200" s="359">
        <f t="shared" ca="1" si="107"/>
        <v>0.29738327414410415</v>
      </c>
      <c r="S200" s="360">
        <f t="shared" ca="1" si="108"/>
        <v>8.9702386958612887</v>
      </c>
      <c r="T200" s="357">
        <f t="shared" ca="1" si="88"/>
        <v>87.998041606399241</v>
      </c>
      <c r="U200" s="364">
        <f t="shared" ca="1" si="89"/>
        <v>0</v>
      </c>
      <c r="V200" s="359">
        <f t="shared" ca="1" si="90"/>
        <v>1.2088745965363787</v>
      </c>
      <c r="W200" s="357">
        <f t="shared" ca="1" si="91"/>
        <v>46.447906568923351</v>
      </c>
      <c r="X200" s="343"/>
      <c r="Y200" s="367" t="str">
        <f t="shared" ca="1" si="109"/>
        <v/>
      </c>
      <c r="Z200" s="368" t="str">
        <f t="shared" ca="1" si="110"/>
        <v/>
      </c>
      <c r="AA200" s="369" t="str">
        <f t="shared" ca="1" si="111"/>
        <v/>
      </c>
      <c r="AB200" s="344"/>
      <c r="AC200" s="363" t="e">
        <f t="shared" ca="1" si="112"/>
        <v>#N/A</v>
      </c>
      <c r="AD200" s="376" t="e">
        <f t="shared" ca="1" si="113"/>
        <v>#N/A</v>
      </c>
      <c r="AE200" s="377">
        <f t="shared" ca="1" si="92"/>
        <v>132.50808802203181</v>
      </c>
      <c r="AF200" s="344"/>
      <c r="AG200" s="359">
        <f t="shared" ca="1" si="114"/>
        <v>51.347073881778314</v>
      </c>
      <c r="AH200" s="357">
        <f t="shared" ca="1" si="115"/>
        <v>60.921637752349561</v>
      </c>
    </row>
    <row r="201" spans="1:34" x14ac:dyDescent="0.25">
      <c r="A201" s="402">
        <f t="shared" ca="1" si="93"/>
        <v>0.01</v>
      </c>
      <c r="B201" s="357">
        <f t="shared" ca="1" si="94"/>
        <v>1.9700000000000015</v>
      </c>
      <c r="C201" s="342"/>
      <c r="D201" s="359">
        <f t="shared" ca="1" si="95"/>
        <v>13.236750845472782</v>
      </c>
      <c r="E201" s="360">
        <f t="shared" ca="1" si="96"/>
        <v>49.469003830018345</v>
      </c>
      <c r="F201" s="357">
        <f t="shared" ca="1" si="97"/>
        <v>51.209314708161195</v>
      </c>
      <c r="G201" s="359">
        <f t="shared" ca="1" si="98"/>
        <v>28.525756578163165</v>
      </c>
      <c r="H201" s="360">
        <f t="shared" ca="1" si="99"/>
        <v>127.65065444826033</v>
      </c>
      <c r="I201" s="357">
        <f t="shared" ca="1" si="100"/>
        <v>130.7991145590282</v>
      </c>
      <c r="J201" s="359">
        <f t="shared" ca="1" si="101"/>
        <v>27.916225718617127</v>
      </c>
      <c r="K201" s="360">
        <f t="shared" ca="1" si="102"/>
        <v>133.78212111632291</v>
      </c>
      <c r="L201" s="357">
        <f t="shared" ca="1" si="87"/>
        <v>136.6637171628054</v>
      </c>
      <c r="M201" s="359">
        <f t="shared" ca="1" si="103"/>
        <v>1.3509411375724392</v>
      </c>
      <c r="N201" s="357">
        <f t="shared" ca="1" si="104"/>
        <v>77.403225553503091</v>
      </c>
      <c r="O201" s="343"/>
      <c r="P201" s="363">
        <f t="shared" ca="1" si="105"/>
        <v>5</v>
      </c>
      <c r="Q201" s="357">
        <f t="shared" ca="1" si="106"/>
        <v>591.10999999999979</v>
      </c>
      <c r="R201" s="359">
        <f t="shared" ca="1" si="107"/>
        <v>0.29665056816801633</v>
      </c>
      <c r="S201" s="360">
        <f t="shared" ca="1" si="108"/>
        <v>8.9672721901796084</v>
      </c>
      <c r="T201" s="357">
        <f t="shared" ca="1" si="88"/>
        <v>87.968940185661964</v>
      </c>
      <c r="U201" s="364">
        <f t="shared" ca="1" si="89"/>
        <v>0</v>
      </c>
      <c r="V201" s="359">
        <f t="shared" ca="1" si="90"/>
        <v>1.2087205848973983</v>
      </c>
      <c r="W201" s="357">
        <f t="shared" ca="1" si="91"/>
        <v>46.807467488087923</v>
      </c>
      <c r="X201" s="343"/>
      <c r="Y201" s="367" t="str">
        <f t="shared" ca="1" si="109"/>
        <v/>
      </c>
      <c r="Z201" s="368" t="str">
        <f t="shared" ca="1" si="110"/>
        <v/>
      </c>
      <c r="AA201" s="369" t="str">
        <f t="shared" ca="1" si="111"/>
        <v/>
      </c>
      <c r="AB201" s="344"/>
      <c r="AC201" s="363" t="e">
        <f t="shared" ca="1" si="112"/>
        <v>#N/A</v>
      </c>
      <c r="AD201" s="376" t="e">
        <f t="shared" ca="1" si="113"/>
        <v>#N/A</v>
      </c>
      <c r="AE201" s="377">
        <f t="shared" ca="1" si="92"/>
        <v>133.78212111632291</v>
      </c>
      <c r="AF201" s="344"/>
      <c r="AG201" s="359">
        <f t="shared" ca="1" si="114"/>
        <v>51.164669217345121</v>
      </c>
      <c r="AH201" s="357">
        <f t="shared" ca="1" si="115"/>
        <v>60.738882670201093</v>
      </c>
    </row>
    <row r="202" spans="1:34" x14ac:dyDescent="0.25">
      <c r="A202" s="402">
        <f t="shared" ca="1" si="93"/>
        <v>0.01</v>
      </c>
      <c r="B202" s="357">
        <f t="shared" ca="1" si="94"/>
        <v>1.9800000000000015</v>
      </c>
      <c r="C202" s="342"/>
      <c r="D202" s="359">
        <f t="shared" ca="1" si="95"/>
        <v>13.206545231840822</v>
      </c>
      <c r="E202" s="360">
        <f t="shared" ca="1" si="96"/>
        <v>49.288314788802225</v>
      </c>
      <c r="F202" s="357">
        <f t="shared" ca="1" si="97"/>
        <v>51.02696161521591</v>
      </c>
      <c r="G202" s="359">
        <f t="shared" ca="1" si="98"/>
        <v>28.657822030481572</v>
      </c>
      <c r="H202" s="360">
        <f t="shared" ca="1" si="99"/>
        <v>128.14353759614835</v>
      </c>
      <c r="I202" s="357">
        <f t="shared" ca="1" si="100"/>
        <v>131.30893720987251</v>
      </c>
      <c r="J202" s="359">
        <f t="shared" ca="1" si="101"/>
        <v>28.20214361166035</v>
      </c>
      <c r="K202" s="360">
        <f t="shared" ca="1" si="102"/>
        <v>135.06109207654495</v>
      </c>
      <c r="L202" s="357">
        <f t="shared" ca="1" si="87"/>
        <v>137.97412618749092</v>
      </c>
      <c r="M202" s="359">
        <f t="shared" ca="1" si="103"/>
        <v>1.3507782053089459</v>
      </c>
      <c r="N202" s="357">
        <f t="shared" ca="1" si="104"/>
        <v>77.39389022245841</v>
      </c>
      <c r="O202" s="343"/>
      <c r="P202" s="363">
        <f t="shared" ca="1" si="105"/>
        <v>5</v>
      </c>
      <c r="Q202" s="357">
        <f t="shared" ca="1" si="106"/>
        <v>589.64999999999975</v>
      </c>
      <c r="R202" s="359">
        <f t="shared" ca="1" si="107"/>
        <v>0.29591786219192839</v>
      </c>
      <c r="S202" s="360">
        <f t="shared" ca="1" si="108"/>
        <v>8.9643130115576888</v>
      </c>
      <c r="T202" s="357">
        <f t="shared" ca="1" si="88"/>
        <v>87.939910643380927</v>
      </c>
      <c r="U202" s="364">
        <f t="shared" ca="1" si="89"/>
        <v>0</v>
      </c>
      <c r="V202" s="359">
        <f t="shared" ca="1" si="90"/>
        <v>1.2085659959473503</v>
      </c>
      <c r="W202" s="357">
        <f t="shared" ca="1" si="91"/>
        <v>47.167033325194268</v>
      </c>
      <c r="X202" s="343"/>
      <c r="Y202" s="367" t="str">
        <f t="shared" ca="1" si="109"/>
        <v/>
      </c>
      <c r="Z202" s="368" t="str">
        <f t="shared" ca="1" si="110"/>
        <v/>
      </c>
      <c r="AA202" s="369" t="str">
        <f t="shared" ca="1" si="111"/>
        <v/>
      </c>
      <c r="AB202" s="344"/>
      <c r="AC202" s="363" t="e">
        <f t="shared" ca="1" si="112"/>
        <v>#N/A</v>
      </c>
      <c r="AD202" s="376" t="e">
        <f t="shared" ca="1" si="113"/>
        <v>#N/A</v>
      </c>
      <c r="AE202" s="377">
        <f t="shared" ca="1" si="92"/>
        <v>135.06109207654495</v>
      </c>
      <c r="AF202" s="344"/>
      <c r="AG202" s="359">
        <f t="shared" ca="1" si="114"/>
        <v>50.982090792022021</v>
      </c>
      <c r="AH202" s="357">
        <f t="shared" ca="1" si="115"/>
        <v>60.555954685208441</v>
      </c>
    </row>
    <row r="203" spans="1:34" x14ac:dyDescent="0.25">
      <c r="A203" s="402">
        <f t="shared" ca="1" si="93"/>
        <v>0.01</v>
      </c>
      <c r="B203" s="357">
        <f t="shared" ca="1" si="94"/>
        <v>1.9900000000000015</v>
      </c>
      <c r="C203" s="342"/>
      <c r="D203" s="359">
        <f t="shared" ca="1" si="95"/>
        <v>13.176213278688493</v>
      </c>
      <c r="E203" s="360">
        <f t="shared" ca="1" si="96"/>
        <v>49.107477394359947</v>
      </c>
      <c r="F203" s="357">
        <f t="shared" ca="1" si="97"/>
        <v>50.844438559227498</v>
      </c>
      <c r="G203" s="359">
        <f t="shared" ca="1" si="98"/>
        <v>28.789584163268458</v>
      </c>
      <c r="H203" s="360">
        <f t="shared" ca="1" si="99"/>
        <v>128.63461237009196</v>
      </c>
      <c r="I203" s="357">
        <f t="shared" ca="1" si="100"/>
        <v>131.81693235657448</v>
      </c>
      <c r="J203" s="359">
        <f t="shared" ca="1" si="101"/>
        <v>28.489380642629101</v>
      </c>
      <c r="K203" s="360">
        <f t="shared" ca="1" si="102"/>
        <v>136.34498282637617</v>
      </c>
      <c r="L203" s="357">
        <f t="shared" ca="1" si="87"/>
        <v>139.28962327225034</v>
      </c>
      <c r="M203" s="359">
        <f t="shared" ca="1" si="103"/>
        <v>1.3506157826170933</v>
      </c>
      <c r="N203" s="357">
        <f t="shared" ca="1" si="104"/>
        <v>77.384584087718096</v>
      </c>
      <c r="O203" s="343"/>
      <c r="P203" s="363">
        <f t="shared" ca="1" si="105"/>
        <v>5</v>
      </c>
      <c r="Q203" s="357">
        <f t="shared" ca="1" si="106"/>
        <v>588.18999999999971</v>
      </c>
      <c r="R203" s="359">
        <f t="shared" ca="1" si="107"/>
        <v>0.29518515621584052</v>
      </c>
      <c r="S203" s="360">
        <f t="shared" ca="1" si="108"/>
        <v>8.9613611599955298</v>
      </c>
      <c r="T203" s="357">
        <f t="shared" ca="1" si="88"/>
        <v>87.910952979556157</v>
      </c>
      <c r="U203" s="364">
        <f t="shared" ca="1" si="89"/>
        <v>0</v>
      </c>
      <c r="V203" s="359">
        <f t="shared" ca="1" si="90"/>
        <v>1.2084108320944285</v>
      </c>
      <c r="W203" s="357">
        <f t="shared" ca="1" si="91"/>
        <v>47.526587091481026</v>
      </c>
      <c r="X203" s="343"/>
      <c r="Y203" s="367" t="str">
        <f t="shared" ca="1" si="109"/>
        <v/>
      </c>
      <c r="Z203" s="368" t="str">
        <f t="shared" ca="1" si="110"/>
        <v/>
      </c>
      <c r="AA203" s="369" t="str">
        <f t="shared" ca="1" si="111"/>
        <v/>
      </c>
      <c r="AB203" s="344"/>
      <c r="AC203" s="363" t="e">
        <f t="shared" ca="1" si="112"/>
        <v>#N/A</v>
      </c>
      <c r="AD203" s="376" t="e">
        <f t="shared" ca="1" si="113"/>
        <v>#N/A</v>
      </c>
      <c r="AE203" s="377">
        <f t="shared" ca="1" si="92"/>
        <v>136.34498282637617</v>
      </c>
      <c r="AF203" s="344"/>
      <c r="AG203" s="359">
        <f t="shared" ca="1" si="114"/>
        <v>50.799340796210295</v>
      </c>
      <c r="AH203" s="357">
        <f t="shared" ca="1" si="115"/>
        <v>60.37285597750369</v>
      </c>
    </row>
    <row r="204" spans="1:34" x14ac:dyDescent="0.25">
      <c r="A204" s="402">
        <f t="shared" ca="1" si="93"/>
        <v>0.01</v>
      </c>
      <c r="B204" s="357">
        <f t="shared" ca="1" si="94"/>
        <v>2.0000000000000013</v>
      </c>
      <c r="C204" s="342"/>
      <c r="D204" s="359">
        <f t="shared" ca="1" si="95"/>
        <v>13.145756006781452</v>
      </c>
      <c r="E204" s="360">
        <f t="shared" ca="1" si="96"/>
        <v>48.926493679600334</v>
      </c>
      <c r="F204" s="357">
        <f t="shared" ca="1" si="97"/>
        <v>50.66174774689285</v>
      </c>
      <c r="G204" s="359">
        <f t="shared" ca="1" si="98"/>
        <v>28.921041723336273</v>
      </c>
      <c r="H204" s="360">
        <f t="shared" ca="1" si="99"/>
        <v>129.12387730688795</v>
      </c>
      <c r="I204" s="357">
        <f t="shared" ca="1" si="100"/>
        <v>132.32309830534959</v>
      </c>
      <c r="J204" s="359">
        <f t="shared" ca="1" si="101"/>
        <v>28.777933772062124</v>
      </c>
      <c r="K204" s="360">
        <f t="shared" ca="1" si="102"/>
        <v>137.63377527476106</v>
      </c>
      <c r="L204" s="357">
        <f t="shared" ca="1" si="87"/>
        <v>140.6101901306325</v>
      </c>
      <c r="M204" s="359">
        <f t="shared" ca="1" si="103"/>
        <v>1.3504538637190509</v>
      </c>
      <c r="N204" s="357">
        <f t="shared" ca="1" si="104"/>
        <v>77.375306818236865</v>
      </c>
      <c r="O204" s="343"/>
      <c r="P204" s="363">
        <f t="shared" ca="1" si="105"/>
        <v>5</v>
      </c>
      <c r="Q204" s="357">
        <f t="shared" ca="1" si="106"/>
        <v>586.72999999999979</v>
      </c>
      <c r="R204" s="359">
        <f t="shared" ca="1" si="107"/>
        <v>0.29445245023975269</v>
      </c>
      <c r="S204" s="360">
        <f t="shared" ca="1" si="108"/>
        <v>8.9584166354931316</v>
      </c>
      <c r="T204" s="357">
        <f t="shared" ca="1" si="88"/>
        <v>87.882067194187627</v>
      </c>
      <c r="U204" s="364">
        <f t="shared" ca="1" si="89"/>
        <v>0</v>
      </c>
      <c r="V204" s="359">
        <f t="shared" ca="1" si="90"/>
        <v>1.2082550957482809</v>
      </c>
      <c r="W204" s="357">
        <f t="shared" ca="1" si="91"/>
        <v>47.886111860856374</v>
      </c>
      <c r="X204" s="343"/>
      <c r="Y204" s="367" t="str">
        <f t="shared" ca="1" si="109"/>
        <v/>
      </c>
      <c r="Z204" s="368" t="str">
        <f t="shared" ca="1" si="110"/>
        <v/>
      </c>
      <c r="AA204" s="369" t="str">
        <f t="shared" ca="1" si="111"/>
        <v/>
      </c>
      <c r="AB204" s="344"/>
      <c r="AC204" s="363">
        <f t="shared" ca="1" si="112"/>
        <v>2.0000000000000013</v>
      </c>
      <c r="AD204" s="376">
        <f t="shared" ca="1" si="113"/>
        <v>28.777933772062124</v>
      </c>
      <c r="AE204" s="377">
        <f t="shared" ca="1" si="92"/>
        <v>137.63377527476106</v>
      </c>
      <c r="AF204" s="344"/>
      <c r="AG204" s="359">
        <f t="shared" ca="1" si="114"/>
        <v>50.616421416951546</v>
      </c>
      <c r="AH204" s="357">
        <f t="shared" ca="1" si="115"/>
        <v>60.189588723994127</v>
      </c>
    </row>
    <row r="205" spans="1:34" x14ac:dyDescent="0.25">
      <c r="A205" s="402">
        <f t="shared" ca="1" si="93"/>
        <v>0.01</v>
      </c>
      <c r="B205" s="357">
        <f t="shared" ca="1" si="94"/>
        <v>2.0100000000000011</v>
      </c>
      <c r="C205" s="342"/>
      <c r="D205" s="359">
        <f t="shared" ca="1" si="95"/>
        <v>13.115174428955106</v>
      </c>
      <c r="E205" s="360">
        <f t="shared" ca="1" si="96"/>
        <v>48.745365675378473</v>
      </c>
      <c r="F205" s="357">
        <f t="shared" ca="1" si="97"/>
        <v>50.478891381727905</v>
      </c>
      <c r="G205" s="359">
        <f t="shared" ca="1" si="98"/>
        <v>29.052193467625823</v>
      </c>
      <c r="H205" s="360">
        <f t="shared" ca="1" si="99"/>
        <v>129.61133096364173</v>
      </c>
      <c r="I205" s="357">
        <f t="shared" ca="1" si="100"/>
        <v>132.82743338424874</v>
      </c>
      <c r="J205" s="359">
        <f t="shared" ca="1" si="101"/>
        <v>29.067799948016933</v>
      </c>
      <c r="K205" s="360">
        <f t="shared" ca="1" si="102"/>
        <v>138.92745131611372</v>
      </c>
      <c r="L205" s="357">
        <f t="shared" ca="1" si="87"/>
        <v>141.93580845934926</v>
      </c>
      <c r="M205" s="359">
        <f t="shared" ca="1" si="103"/>
        <v>1.3502924429176211</v>
      </c>
      <c r="N205" s="357">
        <f t="shared" ca="1" si="104"/>
        <v>77.366058087589309</v>
      </c>
      <c r="O205" s="343"/>
      <c r="P205" s="363">
        <f t="shared" ca="1" si="105"/>
        <v>6</v>
      </c>
      <c r="Q205" s="357">
        <f t="shared" ca="1" si="106"/>
        <v>585.26999999999987</v>
      </c>
      <c r="R205" s="359">
        <f t="shared" ca="1" si="107"/>
        <v>0.29371974426366482</v>
      </c>
      <c r="S205" s="360">
        <f t="shared" ca="1" si="108"/>
        <v>8.9554794380504958</v>
      </c>
      <c r="T205" s="357">
        <f t="shared" ca="1" si="88"/>
        <v>87.853253287275365</v>
      </c>
      <c r="U205" s="364">
        <f t="shared" ca="1" si="89"/>
        <v>0</v>
      </c>
      <c r="V205" s="359">
        <f t="shared" ca="1" si="90"/>
        <v>1.2080987893199728</v>
      </c>
      <c r="W205" s="357">
        <f t="shared" ca="1" si="91"/>
        <v>48.245590770393925</v>
      </c>
      <c r="X205" s="343"/>
      <c r="Y205" s="367" t="str">
        <f t="shared" ca="1" si="109"/>
        <v/>
      </c>
      <c r="Z205" s="368" t="str">
        <f t="shared" ca="1" si="110"/>
        <v/>
      </c>
      <c r="AA205" s="369" t="str">
        <f t="shared" ca="1" si="111"/>
        <v/>
      </c>
      <c r="AB205" s="344"/>
      <c r="AC205" s="363" t="e">
        <f t="shared" ca="1" si="112"/>
        <v>#N/A</v>
      </c>
      <c r="AD205" s="376" t="e">
        <f t="shared" ca="1" si="113"/>
        <v>#N/A</v>
      </c>
      <c r="AE205" s="377">
        <f t="shared" ca="1" si="92"/>
        <v>138.92745131611372</v>
      </c>
      <c r="AF205" s="344"/>
      <c r="AG205" s="359">
        <f t="shared" ca="1" si="114"/>
        <v>50.433334837851234</v>
      </c>
      <c r="AH205" s="357">
        <f t="shared" ca="1" si="115"/>
        <v>60.006155098283124</v>
      </c>
    </row>
    <row r="206" spans="1:34" x14ac:dyDescent="0.25">
      <c r="A206" s="402">
        <f t="shared" ca="1" si="93"/>
        <v>0.01</v>
      </c>
      <c r="B206" s="357">
        <f t="shared" ca="1" si="94"/>
        <v>2.0200000000000009</v>
      </c>
      <c r="C206" s="342"/>
      <c r="D206" s="359">
        <f t="shared" ca="1" si="95"/>
        <v>13.08446955024465</v>
      </c>
      <c r="E206" s="360">
        <f t="shared" ca="1" si="96"/>
        <v>48.56409541039524</v>
      </c>
      <c r="F206" s="357">
        <f t="shared" ca="1" si="97"/>
        <v>50.295871663996955</v>
      </c>
      <c r="G206" s="359">
        <f t="shared" ca="1" si="98"/>
        <v>29.18303816312827</v>
      </c>
      <c r="H206" s="360">
        <f t="shared" ca="1" si="99"/>
        <v>130.09697191774569</v>
      </c>
      <c r="I206" s="357">
        <f t="shared" ca="1" si="100"/>
        <v>133.3299359431231</v>
      </c>
      <c r="J206" s="359">
        <f t="shared" ca="1" si="101"/>
        <v>29.358976106170704</v>
      </c>
      <c r="K206" s="360">
        <f t="shared" ca="1" si="102"/>
        <v>140.22599283052065</v>
      </c>
      <c r="L206" s="357">
        <f t="shared" ca="1" si="87"/>
        <v>143.2664599384934</v>
      </c>
      <c r="M206" s="359">
        <f t="shared" ca="1" si="103"/>
        <v>1.3501315145946589</v>
      </c>
      <c r="N206" s="357">
        <f t="shared" ca="1" si="104"/>
        <v>77.35683757387946</v>
      </c>
      <c r="O206" s="343"/>
      <c r="P206" s="363">
        <f t="shared" ca="1" si="105"/>
        <v>6</v>
      </c>
      <c r="Q206" s="357">
        <f t="shared" ca="1" si="106"/>
        <v>583.80999999999983</v>
      </c>
      <c r="R206" s="359">
        <f t="shared" ca="1" si="107"/>
        <v>0.29298703828757694</v>
      </c>
      <c r="S206" s="360">
        <f t="shared" ca="1" si="108"/>
        <v>8.9525495676676208</v>
      </c>
      <c r="T206" s="357">
        <f t="shared" ca="1" si="88"/>
        <v>87.824511258819371</v>
      </c>
      <c r="U206" s="364">
        <f t="shared" ca="1" si="89"/>
        <v>0</v>
      </c>
      <c r="V206" s="359">
        <f t="shared" ca="1" si="90"/>
        <v>1.2079419152219508</v>
      </c>
      <c r="W206" s="357">
        <f t="shared" ca="1" si="91"/>
        <v>48.605007020823003</v>
      </c>
      <c r="X206" s="343"/>
      <c r="Y206" s="367" t="str">
        <f t="shared" ca="1" si="109"/>
        <v/>
      </c>
      <c r="Z206" s="368" t="str">
        <f t="shared" ca="1" si="110"/>
        <v/>
      </c>
      <c r="AA206" s="369" t="str">
        <f t="shared" ca="1" si="111"/>
        <v/>
      </c>
      <c r="AB206" s="344"/>
      <c r="AC206" s="363" t="e">
        <f t="shared" ca="1" si="112"/>
        <v>#N/A</v>
      </c>
      <c r="AD206" s="376" t="e">
        <f t="shared" ca="1" si="113"/>
        <v>#N/A</v>
      </c>
      <c r="AE206" s="377">
        <f t="shared" ca="1" si="92"/>
        <v>140.22599283052065</v>
      </c>
      <c r="AF206" s="344"/>
      <c r="AG206" s="359">
        <f t="shared" ca="1" si="114"/>
        <v>50.250083239002656</v>
      </c>
      <c r="AH206" s="357">
        <f t="shared" ca="1" si="115"/>
        <v>59.822557270591552</v>
      </c>
    </row>
    <row r="207" spans="1:34" x14ac:dyDescent="0.25">
      <c r="A207" s="402">
        <f t="shared" ca="1" si="93"/>
        <v>0.01</v>
      </c>
      <c r="B207" s="357">
        <f t="shared" ca="1" si="94"/>
        <v>2.0300000000000007</v>
      </c>
      <c r="C207" s="342"/>
      <c r="D207" s="359">
        <f t="shared" ca="1" si="95"/>
        <v>13.053642368011344</v>
      </c>
      <c r="E207" s="360">
        <f t="shared" ca="1" si="96"/>
        <v>48.382684911097861</v>
      </c>
      <c r="F207" s="357">
        <f t="shared" ca="1" si="97"/>
        <v>50.112690790642219</v>
      </c>
      <c r="G207" s="359">
        <f t="shared" ca="1" si="98"/>
        <v>29.313574586808382</v>
      </c>
      <c r="H207" s="360">
        <f t="shared" ca="1" si="99"/>
        <v>130.58079876685667</v>
      </c>
      <c r="I207" s="357">
        <f t="shared" ca="1" si="100"/>
        <v>133.83060435358831</v>
      </c>
      <c r="J207" s="359">
        <f t="shared" ca="1" si="101"/>
        <v>29.651459169920386</v>
      </c>
      <c r="K207" s="360">
        <f t="shared" ca="1" si="102"/>
        <v>141.52938168394365</v>
      </c>
      <c r="L207" s="357">
        <f t="shared" ca="1" si="87"/>
        <v>144.60212623175656</v>
      </c>
      <c r="M207" s="359">
        <f t="shared" ca="1" si="103"/>
        <v>1.3499710732095269</v>
      </c>
      <c r="N207" s="357">
        <f t="shared" ca="1" si="104"/>
        <v>77.347644959652172</v>
      </c>
      <c r="O207" s="343"/>
      <c r="P207" s="363">
        <f t="shared" ca="1" si="105"/>
        <v>6</v>
      </c>
      <c r="Q207" s="357">
        <f t="shared" ca="1" si="106"/>
        <v>582.34999999999991</v>
      </c>
      <c r="R207" s="359">
        <f t="shared" ca="1" si="107"/>
        <v>0.29225433231148912</v>
      </c>
      <c r="S207" s="360">
        <f t="shared" ca="1" si="108"/>
        <v>8.9496270243445064</v>
      </c>
      <c r="T207" s="357">
        <f t="shared" ca="1" si="88"/>
        <v>87.795841108819616</v>
      </c>
      <c r="U207" s="364">
        <f t="shared" ca="1" si="89"/>
        <v>0</v>
      </c>
      <c r="V207" s="359">
        <f t="shared" ca="1" si="90"/>
        <v>1.2077844758680052</v>
      </c>
      <c r="W207" s="357">
        <f t="shared" ca="1" si="91"/>
        <v>48.964343877013143</v>
      </c>
      <c r="X207" s="343"/>
      <c r="Y207" s="367" t="str">
        <f t="shared" ca="1" si="109"/>
        <v/>
      </c>
      <c r="Z207" s="368" t="str">
        <f t="shared" ca="1" si="110"/>
        <v/>
      </c>
      <c r="AA207" s="369" t="str">
        <f t="shared" ca="1" si="111"/>
        <v/>
      </c>
      <c r="AB207" s="344"/>
      <c r="AC207" s="363" t="e">
        <f t="shared" ca="1" si="112"/>
        <v>#N/A</v>
      </c>
      <c r="AD207" s="376" t="e">
        <f t="shared" ca="1" si="113"/>
        <v>#N/A</v>
      </c>
      <c r="AE207" s="377">
        <f t="shared" ca="1" si="92"/>
        <v>141.52938168394365</v>
      </c>
      <c r="AF207" s="344"/>
      <c r="AG207" s="359">
        <f t="shared" ca="1" si="114"/>
        <v>50.066668796911266</v>
      </c>
      <c r="AH207" s="357">
        <f t="shared" ca="1" si="115"/>
        <v>59.638797407679654</v>
      </c>
    </row>
    <row r="208" spans="1:34" x14ac:dyDescent="0.25">
      <c r="A208" s="402">
        <f t="shared" ca="1" si="93"/>
        <v>0.01</v>
      </c>
      <c r="B208" s="357">
        <f t="shared" ca="1" si="94"/>
        <v>2.0400000000000005</v>
      </c>
      <c r="C208" s="342"/>
      <c r="D208" s="359">
        <f t="shared" ca="1" si="95"/>
        <v>13.022693872065483</v>
      </c>
      <c r="E208" s="360">
        <f t="shared" ca="1" si="96"/>
        <v>48.201136201581548</v>
      </c>
      <c r="F208" s="357">
        <f t="shared" ca="1" si="97"/>
        <v>49.929350955214176</v>
      </c>
      <c r="G208" s="359">
        <f t="shared" ca="1" si="98"/>
        <v>29.443801525529036</v>
      </c>
      <c r="H208" s="360">
        <f t="shared" ca="1" si="99"/>
        <v>131.06281012887248</v>
      </c>
      <c r="I208" s="357">
        <f t="shared" ca="1" si="100"/>
        <v>134.32943700898781</v>
      </c>
      <c r="J208" s="359">
        <f t="shared" ca="1" si="101"/>
        <v>29.945246050482073</v>
      </c>
      <c r="K208" s="360">
        <f t="shared" ca="1" si="102"/>
        <v>142.8375997284223</v>
      </c>
      <c r="L208" s="357">
        <f t="shared" ca="1" si="87"/>
        <v>145.94278898664675</v>
      </c>
      <c r="M208" s="359">
        <f t="shared" ca="1" si="103"/>
        <v>1.349811113297591</v>
      </c>
      <c r="N208" s="357">
        <f t="shared" ca="1" si="104"/>
        <v>77.338479931806958</v>
      </c>
      <c r="O208" s="343"/>
      <c r="P208" s="363">
        <f t="shared" ca="1" si="105"/>
        <v>6</v>
      </c>
      <c r="Q208" s="357">
        <f t="shared" ca="1" si="106"/>
        <v>580.88999999999987</v>
      </c>
      <c r="R208" s="359">
        <f t="shared" ca="1" si="107"/>
        <v>0.29152162633540124</v>
      </c>
      <c r="S208" s="360">
        <f t="shared" ca="1" si="108"/>
        <v>8.9467118080811527</v>
      </c>
      <c r="T208" s="357">
        <f t="shared" ca="1" si="88"/>
        <v>87.767242837276115</v>
      </c>
      <c r="U208" s="364">
        <f t="shared" ca="1" si="89"/>
        <v>0</v>
      </c>
      <c r="V208" s="359">
        <f t="shared" ca="1" si="90"/>
        <v>1.2076264736732347</v>
      </c>
      <c r="W208" s="357">
        <f t="shared" ca="1" si="91"/>
        <v>49.323584668453016</v>
      </c>
      <c r="X208" s="343"/>
      <c r="Y208" s="367" t="str">
        <f t="shared" ca="1" si="109"/>
        <v/>
      </c>
      <c r="Z208" s="368" t="str">
        <f t="shared" ca="1" si="110"/>
        <v/>
      </c>
      <c r="AA208" s="369" t="str">
        <f t="shared" ca="1" si="111"/>
        <v/>
      </c>
      <c r="AB208" s="344"/>
      <c r="AC208" s="363" t="e">
        <f t="shared" ca="1" si="112"/>
        <v>#N/A</v>
      </c>
      <c r="AD208" s="376" t="e">
        <f t="shared" ca="1" si="113"/>
        <v>#N/A</v>
      </c>
      <c r="AE208" s="377">
        <f t="shared" ca="1" si="92"/>
        <v>142.8375997284223</v>
      </c>
      <c r="AF208" s="344"/>
      <c r="AG208" s="359">
        <f t="shared" ca="1" si="114"/>
        <v>49.883093684419556</v>
      </c>
      <c r="AH208" s="357">
        <f t="shared" ca="1" si="115"/>
        <v>59.454877672769435</v>
      </c>
    </row>
    <row r="209" spans="1:34" x14ac:dyDescent="0.25">
      <c r="A209" s="402">
        <f t="shared" ca="1" si="93"/>
        <v>0.01</v>
      </c>
      <c r="B209" s="357">
        <f t="shared" ca="1" si="94"/>
        <v>2.0500000000000003</v>
      </c>
      <c r="C209" s="342"/>
      <c r="D209" s="359">
        <f t="shared" ca="1" si="95"/>
        <v>12.991625044785879</v>
      </c>
      <c r="E209" s="360">
        <f t="shared" ca="1" si="96"/>
        <v>48.01945130349236</v>
      </c>
      <c r="F209" s="357">
        <f t="shared" ca="1" si="97"/>
        <v>49.745854347802506</v>
      </c>
      <c r="G209" s="359">
        <f t="shared" ca="1" si="98"/>
        <v>29.573717775976895</v>
      </c>
      <c r="H209" s="360">
        <f t="shared" ca="1" si="99"/>
        <v>131.5430046419074</v>
      </c>
      <c r="I209" s="357">
        <f t="shared" ca="1" si="100"/>
        <v>134.82643232435547</v>
      </c>
      <c r="J209" s="359">
        <f t="shared" ca="1" si="101"/>
        <v>30.240333646989601</v>
      </c>
      <c r="K209" s="360">
        <f t="shared" ca="1" si="102"/>
        <v>144.1506288022762</v>
      </c>
      <c r="L209" s="357">
        <f t="shared" ca="1" si="87"/>
        <v>147.28842983470517</v>
      </c>
      <c r="M209" s="359">
        <f t="shared" ca="1" si="103"/>
        <v>1.3496516294687495</v>
      </c>
      <c r="N209" s="357">
        <f t="shared" ca="1" si="104"/>
        <v>77.329342181513752</v>
      </c>
      <c r="O209" s="343"/>
      <c r="P209" s="363">
        <f t="shared" ca="1" si="105"/>
        <v>6</v>
      </c>
      <c r="Q209" s="357">
        <f t="shared" ca="1" si="106"/>
        <v>579.42999999999995</v>
      </c>
      <c r="R209" s="359">
        <f t="shared" ca="1" si="107"/>
        <v>0.29078892035931336</v>
      </c>
      <c r="S209" s="360">
        <f t="shared" ca="1" si="108"/>
        <v>8.9438039188775598</v>
      </c>
      <c r="T209" s="357">
        <f t="shared" ca="1" si="88"/>
        <v>87.738716444188867</v>
      </c>
      <c r="U209" s="364">
        <f t="shared" ca="1" si="89"/>
        <v>0</v>
      </c>
      <c r="V209" s="359">
        <f t="shared" ca="1" si="90"/>
        <v>1.2074679110540105</v>
      </c>
      <c r="W209" s="357">
        <f t="shared" ca="1" si="91"/>
        <v>49.68271278972356</v>
      </c>
      <c r="X209" s="343"/>
      <c r="Y209" s="367" t="str">
        <f t="shared" ca="1" si="109"/>
        <v/>
      </c>
      <c r="Z209" s="368" t="str">
        <f t="shared" ca="1" si="110"/>
        <v/>
      </c>
      <c r="AA209" s="369" t="str">
        <f t="shared" ca="1" si="111"/>
        <v/>
      </c>
      <c r="AB209" s="344"/>
      <c r="AC209" s="363" t="e">
        <f t="shared" ca="1" si="112"/>
        <v>#N/A</v>
      </c>
      <c r="AD209" s="376" t="e">
        <f t="shared" ca="1" si="113"/>
        <v>#N/A</v>
      </c>
      <c r="AE209" s="377">
        <f t="shared" ca="1" si="92"/>
        <v>144.1506288022762</v>
      </c>
      <c r="AF209" s="344"/>
      <c r="AG209" s="359">
        <f t="shared" ca="1" si="114"/>
        <v>49.699360070632437</v>
      </c>
      <c r="AH209" s="357">
        <f t="shared" ca="1" si="115"/>
        <v>59.270800225467696</v>
      </c>
    </row>
    <row r="210" spans="1:34" x14ac:dyDescent="0.25">
      <c r="A210" s="402">
        <f t="shared" ca="1" si="93"/>
        <v>0.01</v>
      </c>
      <c r="B210" s="357">
        <f t="shared" ca="1" si="94"/>
        <v>2.06</v>
      </c>
      <c r="C210" s="342"/>
      <c r="D210" s="359">
        <f t="shared" ca="1" si="95"/>
        <v>12.960436861236101</v>
      </c>
      <c r="E210" s="360">
        <f t="shared" ca="1" si="96"/>
        <v>47.837632235930911</v>
      </c>
      <c r="F210" s="357">
        <f t="shared" ca="1" si="97"/>
        <v>49.562203154967428</v>
      </c>
      <c r="G210" s="359">
        <f t="shared" ca="1" si="98"/>
        <v>29.703322144589258</v>
      </c>
      <c r="H210" s="360">
        <f t="shared" ca="1" si="99"/>
        <v>132.02138096426671</v>
      </c>
      <c r="I210" s="357">
        <f t="shared" ca="1" si="100"/>
        <v>135.32158873637749</v>
      </c>
      <c r="J210" s="359">
        <f t="shared" ca="1" si="101"/>
        <v>30.536718846592432</v>
      </c>
      <c r="K210" s="360">
        <f t="shared" ca="1" si="102"/>
        <v>145.46845073030707</v>
      </c>
      <c r="L210" s="357">
        <f t="shared" ca="1" si="87"/>
        <v>148.6390303917232</v>
      </c>
      <c r="M210" s="359">
        <f t="shared" ca="1" si="103"/>
        <v>1.3494926164059979</v>
      </c>
      <c r="N210" s="357">
        <f t="shared" ca="1" si="104"/>
        <v>77.320231404130638</v>
      </c>
      <c r="O210" s="343"/>
      <c r="P210" s="363">
        <f t="shared" ca="1" si="105"/>
        <v>6</v>
      </c>
      <c r="Q210" s="357">
        <f t="shared" ca="1" si="106"/>
        <v>577.97</v>
      </c>
      <c r="R210" s="359">
        <f t="shared" ca="1" si="107"/>
        <v>0.29005621438322554</v>
      </c>
      <c r="S210" s="360">
        <f t="shared" ca="1" si="108"/>
        <v>8.9409033567337275</v>
      </c>
      <c r="T210" s="357">
        <f t="shared" ca="1" si="88"/>
        <v>87.710261929557873</v>
      </c>
      <c r="U210" s="364">
        <f t="shared" ca="1" si="89"/>
        <v>0</v>
      </c>
      <c r="V210" s="359">
        <f t="shared" ca="1" si="90"/>
        <v>1.2073087904279374</v>
      </c>
      <c r="W210" s="357">
        <f t="shared" ca="1" si="91"/>
        <v>50.041711700965365</v>
      </c>
      <c r="X210" s="343"/>
      <c r="Y210" s="367" t="str">
        <f t="shared" ca="1" si="109"/>
        <v/>
      </c>
      <c r="Z210" s="368" t="str">
        <f t="shared" ca="1" si="110"/>
        <v/>
      </c>
      <c r="AA210" s="369" t="str">
        <f t="shared" ca="1" si="111"/>
        <v/>
      </c>
      <c r="AB210" s="344"/>
      <c r="AC210" s="363" t="e">
        <f t="shared" ca="1" si="112"/>
        <v>#N/A</v>
      </c>
      <c r="AD210" s="376" t="e">
        <f t="shared" ca="1" si="113"/>
        <v>#N/A</v>
      </c>
      <c r="AE210" s="377">
        <f t="shared" ca="1" si="92"/>
        <v>145.46845073030707</v>
      </c>
      <c r="AF210" s="344"/>
      <c r="AG210" s="359">
        <f t="shared" ca="1" si="114"/>
        <v>49.515470120842998</v>
      </c>
      <c r="AH210" s="357">
        <f t="shared" ca="1" si="115"/>
        <v>59.086567221689471</v>
      </c>
    </row>
    <row r="211" spans="1:34" x14ac:dyDescent="0.25">
      <c r="A211" s="402">
        <f t="shared" ca="1" si="93"/>
        <v>0.01</v>
      </c>
      <c r="B211" s="357">
        <f t="shared" ca="1" si="94"/>
        <v>2.0699999999999998</v>
      </c>
      <c r="C211" s="342"/>
      <c r="D211" s="359">
        <f t="shared" ca="1" si="95"/>
        <v>12.92913028927765</v>
      </c>
      <c r="E211" s="360">
        <f t="shared" ca="1" si="96"/>
        <v>47.655681015357302</v>
      </c>
      <c r="F211" s="357">
        <f t="shared" ca="1" si="97"/>
        <v>49.37839955967187</v>
      </c>
      <c r="G211" s="359">
        <f t="shared" ca="1" si="98"/>
        <v>29.832613447482036</v>
      </c>
      <c r="H211" s="360">
        <f t="shared" ca="1" si="99"/>
        <v>132.49793777442028</v>
      </c>
      <c r="I211" s="357">
        <f t="shared" ca="1" si="100"/>
        <v>135.81490470335365</v>
      </c>
      <c r="J211" s="359">
        <f t="shared" ca="1" si="101"/>
        <v>30.834398524552789</v>
      </c>
      <c r="K211" s="360">
        <f t="shared" ca="1" si="102"/>
        <v>146.79104732400052</v>
      </c>
      <c r="L211" s="357">
        <f t="shared" ca="1" si="87"/>
        <v>149.9945722579584</v>
      </c>
      <c r="M211" s="359">
        <f t="shared" ca="1" si="103"/>
        <v>1.349334068864029</v>
      </c>
      <c r="N211" s="357">
        <f t="shared" ca="1" si="104"/>
        <v>77.311147299123647</v>
      </c>
      <c r="O211" s="343"/>
      <c r="P211" s="363">
        <f t="shared" ca="1" si="105"/>
        <v>6</v>
      </c>
      <c r="Q211" s="357">
        <f t="shared" ca="1" si="106"/>
        <v>576.51</v>
      </c>
      <c r="R211" s="359">
        <f t="shared" ca="1" si="107"/>
        <v>0.28932350840713766</v>
      </c>
      <c r="S211" s="360">
        <f t="shared" ca="1" si="108"/>
        <v>8.9380101216496559</v>
      </c>
      <c r="T211" s="357">
        <f t="shared" ca="1" si="88"/>
        <v>87.681879293383133</v>
      </c>
      <c r="U211" s="364">
        <f t="shared" ca="1" si="89"/>
        <v>0</v>
      </c>
      <c r="V211" s="359">
        <f t="shared" ca="1" si="90"/>
        <v>1.2071491142138207</v>
      </c>
      <c r="W211" s="357">
        <f t="shared" ca="1" si="91"/>
        <v>50.400564928340515</v>
      </c>
      <c r="X211" s="343"/>
      <c r="Y211" s="367" t="str">
        <f t="shared" ca="1" si="109"/>
        <v/>
      </c>
      <c r="Z211" s="368" t="str">
        <f t="shared" ca="1" si="110"/>
        <v/>
      </c>
      <c r="AA211" s="369" t="str">
        <f t="shared" ca="1" si="111"/>
        <v/>
      </c>
      <c r="AB211" s="344"/>
      <c r="AC211" s="363" t="e">
        <f t="shared" ca="1" si="112"/>
        <v>#N/A</v>
      </c>
      <c r="AD211" s="376" t="e">
        <f t="shared" ca="1" si="113"/>
        <v>#N/A</v>
      </c>
      <c r="AE211" s="377">
        <f t="shared" ca="1" si="92"/>
        <v>146.79104732400052</v>
      </c>
      <c r="AF211" s="344"/>
      <c r="AG211" s="359">
        <f t="shared" ca="1" si="114"/>
        <v>49.331425996458805</v>
      </c>
      <c r="AH211" s="357">
        <f t="shared" ca="1" si="115"/>
        <v>58.902180813582056</v>
      </c>
    </row>
    <row r="212" spans="1:34" x14ac:dyDescent="0.25">
      <c r="A212" s="402">
        <f t="shared" ca="1" si="93"/>
        <v>0.01</v>
      </c>
      <c r="B212" s="357">
        <f t="shared" ca="1" si="94"/>
        <v>2.0799999999999996</v>
      </c>
      <c r="C212" s="342"/>
      <c r="D212" s="359">
        <f t="shared" ca="1" si="95"/>
        <v>12.897706289679915</v>
      </c>
      <c r="E212" s="360">
        <f t="shared" ca="1" si="96"/>
        <v>47.473599655497019</v>
      </c>
      <c r="F212" s="357">
        <f t="shared" ca="1" si="97"/>
        <v>49.194445741214075</v>
      </c>
      <c r="G212" s="359">
        <f t="shared" ca="1" si="98"/>
        <v>29.961590510378834</v>
      </c>
      <c r="H212" s="360">
        <f t="shared" ca="1" si="99"/>
        <v>132.97267377097526</v>
      </c>
      <c r="I212" s="357">
        <f t="shared" ca="1" si="100"/>
        <v>136.30637870515758</v>
      </c>
      <c r="J212" s="359">
        <f t="shared" ca="1" si="101"/>
        <v>31.133369544342095</v>
      </c>
      <c r="K212" s="360">
        <f t="shared" ca="1" si="102"/>
        <v>148.1184003817275</v>
      </c>
      <c r="L212" s="357">
        <f t="shared" ca="1" si="87"/>
        <v>151.35503701835066</v>
      </c>
      <c r="M212" s="359">
        <f t="shared" ca="1" si="103"/>
        <v>1.349175981667865</v>
      </c>
      <c r="N212" s="357">
        <f t="shared" ca="1" si="104"/>
        <v>77.302089569988397</v>
      </c>
      <c r="O212" s="343"/>
      <c r="P212" s="363">
        <f t="shared" ca="1" si="105"/>
        <v>6</v>
      </c>
      <c r="Q212" s="357">
        <f t="shared" ca="1" si="106"/>
        <v>575.05000000000007</v>
      </c>
      <c r="R212" s="359">
        <f t="shared" ca="1" si="107"/>
        <v>0.28859080243104984</v>
      </c>
      <c r="S212" s="360">
        <f t="shared" ca="1" si="108"/>
        <v>8.935124213625345</v>
      </c>
      <c r="T212" s="357">
        <f t="shared" ca="1" si="88"/>
        <v>87.653568535664633</v>
      </c>
      <c r="U212" s="364">
        <f t="shared" ca="1" si="89"/>
        <v>0</v>
      </c>
      <c r="V212" s="359">
        <f t="shared" ca="1" si="90"/>
        <v>1.2069888848316297</v>
      </c>
      <c r="W212" s="357">
        <f t="shared" ca="1" si="91"/>
        <v>50.759256064488596</v>
      </c>
      <c r="X212" s="343"/>
      <c r="Y212" s="367" t="str">
        <f t="shared" ca="1" si="109"/>
        <v/>
      </c>
      <c r="Z212" s="368" t="str">
        <f t="shared" ca="1" si="110"/>
        <v/>
      </c>
      <c r="AA212" s="369" t="str">
        <f t="shared" ca="1" si="111"/>
        <v/>
      </c>
      <c r="AB212" s="344"/>
      <c r="AC212" s="363" t="e">
        <f t="shared" ca="1" si="112"/>
        <v>#N/A</v>
      </c>
      <c r="AD212" s="376" t="e">
        <f t="shared" ca="1" si="113"/>
        <v>#N/A</v>
      </c>
      <c r="AE212" s="377">
        <f t="shared" ca="1" si="92"/>
        <v>148.1184003817275</v>
      </c>
      <c r="AF212" s="344"/>
      <c r="AG212" s="359">
        <f t="shared" ca="1" si="114"/>
        <v>49.147229854928725</v>
      </c>
      <c r="AH212" s="357">
        <f t="shared" ca="1" si="115"/>
        <v>58.717643149449614</v>
      </c>
    </row>
    <row r="213" spans="1:34" x14ac:dyDescent="0.25">
      <c r="A213" s="402">
        <f t="shared" ca="1" si="93"/>
        <v>0.01</v>
      </c>
      <c r="B213" s="357">
        <f t="shared" ca="1" si="94"/>
        <v>2.0899999999999994</v>
      </c>
      <c r="C213" s="342"/>
      <c r="D213" s="359">
        <f t="shared" ca="1" si="95"/>
        <v>12.866165816227163</v>
      </c>
      <c r="E213" s="360">
        <f t="shared" ca="1" si="96"/>
        <v>47.291390167247741</v>
      </c>
      <c r="F213" s="357">
        <f t="shared" ca="1" si="97"/>
        <v>49.010343875160764</v>
      </c>
      <c r="G213" s="359">
        <f t="shared" ca="1" si="98"/>
        <v>30.090252168541106</v>
      </c>
      <c r="H213" s="360">
        <f t="shared" ca="1" si="99"/>
        <v>133.44558767264775</v>
      </c>
      <c r="I213" s="357">
        <f t="shared" ca="1" si="100"/>
        <v>136.79600924319652</v>
      </c>
      <c r="J213" s="359">
        <f t="shared" ca="1" si="101"/>
        <v>31.433628757736695</v>
      </c>
      <c r="K213" s="360">
        <f t="shared" ca="1" si="102"/>
        <v>149.45049168894562</v>
      </c>
      <c r="L213" s="357">
        <f t="shared" ca="1" si="87"/>
        <v>152.72040624273762</v>
      </c>
      <c r="M213" s="359">
        <f t="shared" ca="1" si="103"/>
        <v>1.3490183497115209</v>
      </c>
      <c r="N213" s="357">
        <f t="shared" ca="1" si="104"/>
        <v>77.293057924173482</v>
      </c>
      <c r="O213" s="343"/>
      <c r="P213" s="363">
        <f t="shared" ca="1" si="105"/>
        <v>6</v>
      </c>
      <c r="Q213" s="357">
        <f t="shared" ca="1" si="106"/>
        <v>573.59</v>
      </c>
      <c r="R213" s="359">
        <f t="shared" ca="1" si="107"/>
        <v>0.28785809645496191</v>
      </c>
      <c r="S213" s="360">
        <f t="shared" ca="1" si="108"/>
        <v>8.9322456326607949</v>
      </c>
      <c r="T213" s="357">
        <f t="shared" ca="1" si="88"/>
        <v>87.6253296564024</v>
      </c>
      <c r="U213" s="364">
        <f t="shared" ca="1" si="89"/>
        <v>0</v>
      </c>
      <c r="V213" s="359">
        <f t="shared" ca="1" si="90"/>
        <v>1.2068281047024609</v>
      </c>
      <c r="W213" s="357">
        <f t="shared" ca="1" si="91"/>
        <v>51.117768768976831</v>
      </c>
      <c r="X213" s="343"/>
      <c r="Y213" s="367" t="str">
        <f t="shared" ca="1" si="109"/>
        <v/>
      </c>
      <c r="Z213" s="368" t="str">
        <f t="shared" ca="1" si="110"/>
        <v/>
      </c>
      <c r="AA213" s="369" t="str">
        <f t="shared" ca="1" si="111"/>
        <v/>
      </c>
      <c r="AB213" s="344"/>
      <c r="AC213" s="363" t="e">
        <f t="shared" ca="1" si="112"/>
        <v>#N/A</v>
      </c>
      <c r="AD213" s="376" t="e">
        <f t="shared" ca="1" si="113"/>
        <v>#N/A</v>
      </c>
      <c r="AE213" s="377">
        <f t="shared" ca="1" si="92"/>
        <v>149.45049168894562</v>
      </c>
      <c r="AF213" s="344"/>
      <c r="AG213" s="359">
        <f t="shared" ca="1" si="114"/>
        <v>48.962883849670078</v>
      </c>
      <c r="AH213" s="357">
        <f t="shared" ca="1" si="115"/>
        <v>58.532956373678147</v>
      </c>
    </row>
    <row r="214" spans="1:34" x14ac:dyDescent="0.25">
      <c r="A214" s="402">
        <f t="shared" ca="1" si="93"/>
        <v>0.01</v>
      </c>
      <c r="B214" s="357">
        <f t="shared" ca="1" si="94"/>
        <v>2.0999999999999992</v>
      </c>
      <c r="C214" s="342"/>
      <c r="D214" s="359">
        <f t="shared" ca="1" si="95"/>
        <v>12.83450981582285</v>
      </c>
      <c r="E214" s="360">
        <f t="shared" ca="1" si="96"/>
        <v>47.109054558587452</v>
      </c>
      <c r="F214" s="357">
        <f t="shared" ca="1" si="97"/>
        <v>48.826096133281247</v>
      </c>
      <c r="G214" s="359">
        <f t="shared" ca="1" si="98"/>
        <v>30.218597266699334</v>
      </c>
      <c r="H214" s="360">
        <f t="shared" ca="1" si="99"/>
        <v>133.91667821823361</v>
      </c>
      <c r="I214" s="357">
        <f t="shared" ca="1" si="100"/>
        <v>137.28379484037035</v>
      </c>
      <c r="J214" s="359">
        <f t="shared" ca="1" si="101"/>
        <v>31.735173004912898</v>
      </c>
      <c r="K214" s="360">
        <f t="shared" ca="1" si="102"/>
        <v>150.78730301840002</v>
      </c>
      <c r="L214" s="357">
        <f t="shared" ca="1" si="87"/>
        <v>154.09066148606976</v>
      </c>
      <c r="M214" s="359">
        <f t="shared" ca="1" si="103"/>
        <v>1.3488611679567022</v>
      </c>
      <c r="N214" s="357">
        <f t="shared" ca="1" si="104"/>
        <v>77.28405207300591</v>
      </c>
      <c r="O214" s="343"/>
      <c r="P214" s="363">
        <f t="shared" ca="1" si="105"/>
        <v>6</v>
      </c>
      <c r="Q214" s="357">
        <f t="shared" ca="1" si="106"/>
        <v>572.13000000000011</v>
      </c>
      <c r="R214" s="359">
        <f t="shared" ca="1" si="107"/>
        <v>0.28712539047887409</v>
      </c>
      <c r="S214" s="360">
        <f t="shared" ca="1" si="108"/>
        <v>8.9293743787560054</v>
      </c>
      <c r="T214" s="357">
        <f t="shared" ca="1" si="88"/>
        <v>87.597162655596421</v>
      </c>
      <c r="U214" s="364">
        <f t="shared" ca="1" si="89"/>
        <v>0</v>
      </c>
      <c r="V214" s="359">
        <f t="shared" ca="1" si="90"/>
        <v>1.2066667762485024</v>
      </c>
      <c r="W214" s="357">
        <f t="shared" ca="1" si="91"/>
        <v>51.476086768744814</v>
      </c>
      <c r="X214" s="343"/>
      <c r="Y214" s="367" t="str">
        <f t="shared" ca="1" si="109"/>
        <v/>
      </c>
      <c r="Z214" s="368" t="str">
        <f t="shared" ca="1" si="110"/>
        <v/>
      </c>
      <c r="AA214" s="369" t="str">
        <f t="shared" ca="1" si="111"/>
        <v/>
      </c>
      <c r="AB214" s="344"/>
      <c r="AC214" s="363" t="e">
        <f t="shared" ca="1" si="112"/>
        <v>#N/A</v>
      </c>
      <c r="AD214" s="376" t="e">
        <f t="shared" ca="1" si="113"/>
        <v>#N/A</v>
      </c>
      <c r="AE214" s="377">
        <f t="shared" ca="1" si="92"/>
        <v>150.78730301840002</v>
      </c>
      <c r="AF214" s="344"/>
      <c r="AG214" s="359">
        <f t="shared" ca="1" si="114"/>
        <v>48.778390129996552</v>
      </c>
      <c r="AH214" s="357">
        <f t="shared" ca="1" si="115"/>
        <v>58.348122626661336</v>
      </c>
    </row>
    <row r="215" spans="1:34" x14ac:dyDescent="0.25">
      <c r="A215" s="402">
        <f t="shared" ca="1" si="93"/>
        <v>0.01</v>
      </c>
      <c r="B215" s="357">
        <f t="shared" ca="1" si="94"/>
        <v>2.109999999999999</v>
      </c>
      <c r="C215" s="342"/>
      <c r="D215" s="359">
        <f t="shared" ca="1" si="95"/>
        <v>12.802739228590751</v>
      </c>
      <c r="E215" s="360">
        <f t="shared" ca="1" si="96"/>
        <v>46.926594834483261</v>
      </c>
      <c r="F215" s="357">
        <f t="shared" ca="1" si="97"/>
        <v>48.64170468348172</v>
      </c>
      <c r="G215" s="359">
        <f t="shared" ca="1" si="98"/>
        <v>30.346624658985242</v>
      </c>
      <c r="H215" s="360">
        <f t="shared" ca="1" si="99"/>
        <v>134.38594416657844</v>
      </c>
      <c r="I215" s="357">
        <f t="shared" ca="1" si="100"/>
        <v>137.76973404102975</v>
      </c>
      <c r="J215" s="359">
        <f t="shared" ca="1" si="101"/>
        <v>32.037999114541321</v>
      </c>
      <c r="K215" s="360">
        <f t="shared" ca="1" si="102"/>
        <v>152.12881613032408</v>
      </c>
      <c r="L215" s="357">
        <f t="shared" ca="1" si="87"/>
        <v>155.46578428862509</v>
      </c>
      <c r="M215" s="359">
        <f t="shared" ca="1" si="103"/>
        <v>1.3487044314315293</v>
      </c>
      <c r="N215" s="357">
        <f t="shared" ca="1" si="104"/>
        <v>77.275071731617956</v>
      </c>
      <c r="O215" s="343"/>
      <c r="P215" s="363">
        <f t="shared" ca="1" si="105"/>
        <v>6</v>
      </c>
      <c r="Q215" s="357">
        <f t="shared" ca="1" si="106"/>
        <v>570.67000000000019</v>
      </c>
      <c r="R215" s="359">
        <f t="shared" ca="1" si="107"/>
        <v>0.28639268450278627</v>
      </c>
      <c r="S215" s="360">
        <f t="shared" ca="1" si="108"/>
        <v>8.9265104519109784</v>
      </c>
      <c r="T215" s="357">
        <f t="shared" ca="1" si="88"/>
        <v>87.569067533246695</v>
      </c>
      <c r="U215" s="364">
        <f t="shared" ca="1" si="89"/>
        <v>0</v>
      </c>
      <c r="V215" s="359">
        <f t="shared" ca="1" si="90"/>
        <v>1.2065049018929972</v>
      </c>
      <c r="W215" s="357">
        <f t="shared" ca="1" si="91"/>
        <v>51.834193858543181</v>
      </c>
      <c r="X215" s="343"/>
      <c r="Y215" s="367" t="str">
        <f t="shared" ca="1" si="109"/>
        <v/>
      </c>
      <c r="Z215" s="368" t="str">
        <f t="shared" ca="1" si="110"/>
        <v/>
      </c>
      <c r="AA215" s="369" t="str">
        <f t="shared" ca="1" si="111"/>
        <v/>
      </c>
      <c r="AB215" s="344"/>
      <c r="AC215" s="363" t="e">
        <f t="shared" ca="1" si="112"/>
        <v>#N/A</v>
      </c>
      <c r="AD215" s="376" t="e">
        <f t="shared" ca="1" si="113"/>
        <v>#N/A</v>
      </c>
      <c r="AE215" s="377">
        <f t="shared" ca="1" si="92"/>
        <v>152.12881613032408</v>
      </c>
      <c r="AF215" s="344"/>
      <c r="AG215" s="359">
        <f t="shared" ca="1" si="114"/>
        <v>48.593750841046315</v>
      </c>
      <c r="AH215" s="357">
        <f t="shared" ca="1" si="115"/>
        <v>58.16314404472655</v>
      </c>
    </row>
    <row r="216" spans="1:34" x14ac:dyDescent="0.25">
      <c r="A216" s="402">
        <f t="shared" ca="1" si="93"/>
        <v>0.01</v>
      </c>
      <c r="B216" s="357">
        <f t="shared" ca="1" si="94"/>
        <v>2.1199999999999988</v>
      </c>
      <c r="C216" s="342"/>
      <c r="D216" s="359">
        <f t="shared" ca="1" si="95"/>
        <v>12.770854987973717</v>
      </c>
      <c r="E216" s="360">
        <f t="shared" ca="1" si="96"/>
        <v>46.744012996801402</v>
      </c>
      <c r="F216" s="357">
        <f t="shared" ca="1" si="97"/>
        <v>48.457171689740534</v>
      </c>
      <c r="G216" s="359">
        <f t="shared" ca="1" si="98"/>
        <v>30.47433320886498</v>
      </c>
      <c r="H216" s="360">
        <f t="shared" ca="1" si="99"/>
        <v>134.85338429654647</v>
      </c>
      <c r="I216" s="357">
        <f t="shared" ca="1" si="100"/>
        <v>138.25382541093384</v>
      </c>
      <c r="J216" s="359">
        <f t="shared" ca="1" si="101"/>
        <v>32.34210390388057</v>
      </c>
      <c r="K216" s="360">
        <f t="shared" ca="1" si="102"/>
        <v>153.4750127726397</v>
      </c>
      <c r="L216" s="357">
        <f t="shared" ca="1" si="87"/>
        <v>156.8457561762234</v>
      </c>
      <c r="M216" s="359">
        <f t="shared" ca="1" si="103"/>
        <v>1.3485481352292941</v>
      </c>
      <c r="N216" s="357">
        <f t="shared" ca="1" si="104"/>
        <v>77.266116618875955</v>
      </c>
      <c r="O216" s="343"/>
      <c r="P216" s="363">
        <f t="shared" ca="1" si="105"/>
        <v>6</v>
      </c>
      <c r="Q216" s="357">
        <f t="shared" ca="1" si="106"/>
        <v>569.21000000000015</v>
      </c>
      <c r="R216" s="359">
        <f t="shared" ca="1" si="107"/>
        <v>0.28565997852669833</v>
      </c>
      <c r="S216" s="360">
        <f t="shared" ca="1" si="108"/>
        <v>8.923653852125712</v>
      </c>
      <c r="T216" s="357">
        <f t="shared" ca="1" si="88"/>
        <v>87.541044289353238</v>
      </c>
      <c r="U216" s="364">
        <f t="shared" ca="1" si="89"/>
        <v>0</v>
      </c>
      <c r="V216" s="359">
        <f t="shared" ca="1" si="90"/>
        <v>1.2063424840602099</v>
      </c>
      <c r="W216" s="357">
        <f t="shared" ca="1" si="91"/>
        <v>52.192073901366868</v>
      </c>
      <c r="X216" s="343"/>
      <c r="Y216" s="367" t="str">
        <f t="shared" ca="1" si="109"/>
        <v/>
      </c>
      <c r="Z216" s="368" t="str">
        <f t="shared" ca="1" si="110"/>
        <v/>
      </c>
      <c r="AA216" s="369" t="str">
        <f t="shared" ca="1" si="111"/>
        <v/>
      </c>
      <c r="AB216" s="344"/>
      <c r="AC216" s="363" t="e">
        <f t="shared" ca="1" si="112"/>
        <v>#N/A</v>
      </c>
      <c r="AD216" s="376" t="e">
        <f t="shared" ca="1" si="113"/>
        <v>#N/A</v>
      </c>
      <c r="AE216" s="377">
        <f t="shared" ca="1" si="92"/>
        <v>153.4750127726397</v>
      </c>
      <c r="AF216" s="344"/>
      <c r="AG216" s="359">
        <f t="shared" ca="1" si="114"/>
        <v>48.408968123710906</v>
      </c>
      <c r="AH216" s="357">
        <f t="shared" ca="1" si="115"/>
        <v>57.978022760061727</v>
      </c>
    </row>
    <row r="217" spans="1:34" x14ac:dyDescent="0.25">
      <c r="A217" s="402">
        <f t="shared" ca="1" si="93"/>
        <v>0.01</v>
      </c>
      <c r="B217" s="357">
        <f t="shared" ca="1" si="94"/>
        <v>2.1299999999999986</v>
      </c>
      <c r="C217" s="342"/>
      <c r="D217" s="359">
        <f t="shared" ca="1" si="95"/>
        <v>12.738858020829563</v>
      </c>
      <c r="E217" s="360">
        <f t="shared" ca="1" si="96"/>
        <v>46.561311044218101</v>
      </c>
      <c r="F217" s="357">
        <f t="shared" ca="1" si="97"/>
        <v>48.272499312043912</v>
      </c>
      <c r="G217" s="359">
        <f t="shared" ca="1" si="98"/>
        <v>30.601721789073277</v>
      </c>
      <c r="H217" s="360">
        <f t="shared" ca="1" si="99"/>
        <v>135.31899740698864</v>
      </c>
      <c r="I217" s="357">
        <f t="shared" ca="1" si="100"/>
        <v>138.73606753720694</v>
      </c>
      <c r="J217" s="359">
        <f t="shared" ca="1" si="101"/>
        <v>32.647484178870265</v>
      </c>
      <c r="K217" s="360">
        <f t="shared" ca="1" si="102"/>
        <v>154.82587468115739</v>
      </c>
      <c r="L217" s="357">
        <f t="shared" ca="1" si="87"/>
        <v>158.23055866044029</v>
      </c>
      <c r="M217" s="359">
        <f t="shared" ca="1" si="103"/>
        <v>1.3483922745072434</v>
      </c>
      <c r="N217" s="357">
        <f t="shared" ca="1" si="104"/>
        <v>77.257186457310596</v>
      </c>
      <c r="O217" s="343"/>
      <c r="P217" s="363">
        <f t="shared" ca="1" si="105"/>
        <v>6</v>
      </c>
      <c r="Q217" s="357">
        <f t="shared" ca="1" si="106"/>
        <v>567.75000000000023</v>
      </c>
      <c r="R217" s="359">
        <f t="shared" ca="1" si="107"/>
        <v>0.28492727255061051</v>
      </c>
      <c r="S217" s="360">
        <f t="shared" ca="1" si="108"/>
        <v>8.9208045794002064</v>
      </c>
      <c r="T217" s="357">
        <f t="shared" ca="1" si="88"/>
        <v>87.513092923916034</v>
      </c>
      <c r="U217" s="364">
        <f t="shared" ca="1" si="89"/>
        <v>0</v>
      </c>
      <c r="V217" s="359">
        <f t="shared" ca="1" si="90"/>
        <v>1.20617952517539</v>
      </c>
      <c r="W217" s="357">
        <f t="shared" ca="1" si="91"/>
        <v>52.549710828882262</v>
      </c>
      <c r="X217" s="343"/>
      <c r="Y217" s="367" t="str">
        <f t="shared" ca="1" si="109"/>
        <v/>
      </c>
      <c r="Z217" s="368" t="str">
        <f t="shared" ca="1" si="110"/>
        <v/>
      </c>
      <c r="AA217" s="369" t="str">
        <f t="shared" ca="1" si="111"/>
        <v/>
      </c>
      <c r="AB217" s="344"/>
      <c r="AC217" s="363" t="e">
        <f t="shared" ca="1" si="112"/>
        <v>#N/A</v>
      </c>
      <c r="AD217" s="376" t="e">
        <f t="shared" ca="1" si="113"/>
        <v>#N/A</v>
      </c>
      <c r="AE217" s="377">
        <f t="shared" ca="1" si="92"/>
        <v>154.82587468115739</v>
      </c>
      <c r="AF217" s="344"/>
      <c r="AG217" s="359">
        <f t="shared" ca="1" si="114"/>
        <v>48.224044114564407</v>
      </c>
      <c r="AH217" s="357">
        <f t="shared" ca="1" si="115"/>
        <v>57.792760900642563</v>
      </c>
    </row>
    <row r="218" spans="1:34" x14ac:dyDescent="0.25">
      <c r="A218" s="402">
        <f t="shared" ca="1" si="93"/>
        <v>0.01</v>
      </c>
      <c r="B218" s="357">
        <f t="shared" ca="1" si="94"/>
        <v>2.1399999999999983</v>
      </c>
      <c r="C218" s="342"/>
      <c r="D218" s="359">
        <f t="shared" ca="1" si="95"/>
        <v>12.70674924752451</v>
      </c>
      <c r="E218" s="360">
        <f t="shared" ca="1" si="96"/>
        <v>46.378490972131509</v>
      </c>
      <c r="F218" s="357">
        <f t="shared" ca="1" si="97"/>
        <v>48.087689706322436</v>
      </c>
      <c r="G218" s="359">
        <f t="shared" ca="1" si="98"/>
        <v>30.728789281548522</v>
      </c>
      <c r="H218" s="360">
        <f t="shared" ca="1" si="99"/>
        <v>135.78278231670996</v>
      </c>
      <c r="I218" s="357">
        <f t="shared" ca="1" si="100"/>
        <v>139.21645902829468</v>
      </c>
      <c r="J218" s="359">
        <f t="shared" ca="1" si="101"/>
        <v>32.954136734223376</v>
      </c>
      <c r="K218" s="360">
        <f t="shared" ca="1" si="102"/>
        <v>156.18138357977588</v>
      </c>
      <c r="L218" s="357">
        <f t="shared" ca="1" si="87"/>
        <v>159.62017323882023</v>
      </c>
      <c r="M218" s="359">
        <f t="shared" ca="1" si="103"/>
        <v>1.3482368444853927</v>
      </c>
      <c r="N218" s="357">
        <f t="shared" ca="1" si="104"/>
        <v>77.248280973048921</v>
      </c>
      <c r="O218" s="343"/>
      <c r="P218" s="363">
        <f t="shared" ca="1" si="105"/>
        <v>6</v>
      </c>
      <c r="Q218" s="357">
        <f t="shared" ca="1" si="106"/>
        <v>566.29000000000019</v>
      </c>
      <c r="R218" s="359">
        <f t="shared" ca="1" si="107"/>
        <v>0.28419456657452263</v>
      </c>
      <c r="S218" s="360">
        <f t="shared" ca="1" si="108"/>
        <v>8.9179626337344615</v>
      </c>
      <c r="T218" s="357">
        <f t="shared" ca="1" si="88"/>
        <v>87.485213436935069</v>
      </c>
      <c r="U218" s="364">
        <f t="shared" ca="1" si="89"/>
        <v>0</v>
      </c>
      <c r="V218" s="359">
        <f t="shared" ca="1" si="90"/>
        <v>1.2060160276647354</v>
      </c>
      <c r="W218" s="357">
        <f t="shared" ca="1" si="91"/>
        <v>52.907088641848908</v>
      </c>
      <c r="X218" s="343"/>
      <c r="Y218" s="367" t="str">
        <f t="shared" ca="1" si="109"/>
        <v/>
      </c>
      <c r="Z218" s="368" t="str">
        <f t="shared" ca="1" si="110"/>
        <v/>
      </c>
      <c r="AA218" s="369" t="str">
        <f t="shared" ca="1" si="111"/>
        <v/>
      </c>
      <c r="AB218" s="344"/>
      <c r="AC218" s="363" t="e">
        <f t="shared" ca="1" si="112"/>
        <v>#N/A</v>
      </c>
      <c r="AD218" s="376" t="e">
        <f t="shared" ca="1" si="113"/>
        <v>#N/A</v>
      </c>
      <c r="AE218" s="377">
        <f t="shared" ca="1" si="92"/>
        <v>156.18138357977588</v>
      </c>
      <c r="AF218" s="344"/>
      <c r="AG218" s="359">
        <f t="shared" ca="1" si="114"/>
        <v>48.03898094579327</v>
      </c>
      <c r="AH218" s="357">
        <f t="shared" ca="1" si="115"/>
        <v>57.607360590160432</v>
      </c>
    </row>
    <row r="219" spans="1:34" x14ac:dyDescent="0.25">
      <c r="A219" s="402">
        <f t="shared" ca="1" si="93"/>
        <v>0.01</v>
      </c>
      <c r="B219" s="357">
        <f t="shared" ca="1" si="94"/>
        <v>2.1499999999999981</v>
      </c>
      <c r="C219" s="342"/>
      <c r="D219" s="359">
        <f t="shared" ca="1" si="95"/>
        <v>12.67452958202402</v>
      </c>
      <c r="E219" s="360">
        <f t="shared" ca="1" si="96"/>
        <v>46.195554772574589</v>
      </c>
      <c r="F219" s="357">
        <f t="shared" ca="1" si="97"/>
        <v>47.902745024388118</v>
      </c>
      <c r="G219" s="359">
        <f t="shared" ca="1" si="98"/>
        <v>30.855534577368761</v>
      </c>
      <c r="H219" s="360">
        <f t="shared" ca="1" si="99"/>
        <v>136.24473786443571</v>
      </c>
      <c r="I219" s="357">
        <f t="shared" ca="1" si="100"/>
        <v>139.69499851391959</v>
      </c>
      <c r="J219" s="359">
        <f t="shared" ca="1" si="101"/>
        <v>33.262058353517965</v>
      </c>
      <c r="K219" s="360">
        <f t="shared" ca="1" si="102"/>
        <v>157.5415211806816</v>
      </c>
      <c r="L219" s="357">
        <f t="shared" ca="1" si="87"/>
        <v>161.01458139508975</v>
      </c>
      <c r="M219" s="359">
        <f t="shared" ca="1" si="103"/>
        <v>1.3480818404453641</v>
      </c>
      <c r="N219" s="357">
        <f t="shared" ca="1" si="104"/>
        <v>77.239399895747809</v>
      </c>
      <c r="O219" s="343"/>
      <c r="P219" s="363">
        <f t="shared" ca="1" si="105"/>
        <v>6</v>
      </c>
      <c r="Q219" s="357">
        <f t="shared" ca="1" si="106"/>
        <v>564.83000000000027</v>
      </c>
      <c r="R219" s="359">
        <f t="shared" ca="1" si="107"/>
        <v>0.28346186059843481</v>
      </c>
      <c r="S219" s="360">
        <f t="shared" ca="1" si="108"/>
        <v>8.9151280151284773</v>
      </c>
      <c r="T219" s="357">
        <f t="shared" ca="1" si="88"/>
        <v>87.457405828410373</v>
      </c>
      <c r="U219" s="364">
        <f t="shared" ca="1" si="89"/>
        <v>0</v>
      </c>
      <c r="V219" s="359">
        <f t="shared" ca="1" si="90"/>
        <v>1.2058519939553589</v>
      </c>
      <c r="W219" s="357">
        <f t="shared" ca="1" si="91"/>
        <v>53.264191410535432</v>
      </c>
      <c r="X219" s="343"/>
      <c r="Y219" s="367" t="str">
        <f t="shared" ca="1" si="109"/>
        <v/>
      </c>
      <c r="Z219" s="368" t="str">
        <f t="shared" ca="1" si="110"/>
        <v/>
      </c>
      <c r="AA219" s="369" t="str">
        <f t="shared" ca="1" si="111"/>
        <v/>
      </c>
      <c r="AB219" s="344"/>
      <c r="AC219" s="363" t="e">
        <f t="shared" ca="1" si="112"/>
        <v>#N/A</v>
      </c>
      <c r="AD219" s="376" t="e">
        <f t="shared" ca="1" si="113"/>
        <v>#N/A</v>
      </c>
      <c r="AE219" s="377">
        <f t="shared" ca="1" si="92"/>
        <v>157.5415211806816</v>
      </c>
      <c r="AF219" s="344"/>
      <c r="AG219" s="359">
        <f t="shared" ca="1" si="114"/>
        <v>47.853780745126613</v>
      </c>
      <c r="AH219" s="357">
        <f t="shared" ca="1" si="115"/>
        <v>57.421823947950784</v>
      </c>
    </row>
    <row r="220" spans="1:34" x14ac:dyDescent="0.25">
      <c r="A220" s="402">
        <f t="shared" ca="1" si="93"/>
        <v>0.01</v>
      </c>
      <c r="B220" s="357">
        <f t="shared" ca="1" si="94"/>
        <v>2.1599999999999979</v>
      </c>
      <c r="C220" s="342"/>
      <c r="D220" s="359">
        <f t="shared" ca="1" si="95"/>
        <v>12.642199931981327</v>
      </c>
      <c r="E220" s="360">
        <f t="shared" ca="1" si="96"/>
        <v>46.012504434128857</v>
      </c>
      <c r="F220" s="357">
        <f t="shared" ca="1" si="97"/>
        <v>47.717667413872149</v>
      </c>
      <c r="G220" s="359">
        <f t="shared" ca="1" si="98"/>
        <v>30.981956576688575</v>
      </c>
      <c r="H220" s="360">
        <f t="shared" ca="1" si="99"/>
        <v>136.70486290877699</v>
      </c>
      <c r="I220" s="357">
        <f t="shared" ca="1" si="100"/>
        <v>140.17168464503567</v>
      </c>
      <c r="J220" s="359">
        <f t="shared" ca="1" si="101"/>
        <v>33.57124580928825</v>
      </c>
      <c r="K220" s="360">
        <f t="shared" ca="1" si="102"/>
        <v>158.90626918454765</v>
      </c>
      <c r="L220" s="357">
        <f t="shared" ca="1" si="87"/>
        <v>162.41376459937001</v>
      </c>
      <c r="M220" s="359">
        <f t="shared" ca="1" si="103"/>
        <v>1.3479272577292523</v>
      </c>
      <c r="N220" s="357">
        <f t="shared" ca="1" si="104"/>
        <v>77.230542958528929</v>
      </c>
      <c r="O220" s="343"/>
      <c r="P220" s="363">
        <f t="shared" ca="1" si="105"/>
        <v>6</v>
      </c>
      <c r="Q220" s="357">
        <f t="shared" ca="1" si="106"/>
        <v>563.37000000000035</v>
      </c>
      <c r="R220" s="359">
        <f t="shared" ca="1" si="107"/>
        <v>0.28272915462234693</v>
      </c>
      <c r="S220" s="360">
        <f t="shared" ca="1" si="108"/>
        <v>8.9123007235822538</v>
      </c>
      <c r="T220" s="357">
        <f t="shared" ca="1" si="88"/>
        <v>87.429670098341916</v>
      </c>
      <c r="U220" s="364">
        <f t="shared" ca="1" si="89"/>
        <v>0</v>
      </c>
      <c r="V220" s="359">
        <f t="shared" ca="1" si="90"/>
        <v>1.2056874264752517</v>
      </c>
      <c r="W220" s="357">
        <f t="shared" ca="1" si="91"/>
        <v>53.621003275129496</v>
      </c>
      <c r="X220" s="343"/>
      <c r="Y220" s="367" t="str">
        <f t="shared" ca="1" si="109"/>
        <v/>
      </c>
      <c r="Z220" s="368" t="str">
        <f t="shared" ca="1" si="110"/>
        <v/>
      </c>
      <c r="AA220" s="369" t="str">
        <f t="shared" ca="1" si="111"/>
        <v/>
      </c>
      <c r="AB220" s="344"/>
      <c r="AC220" s="363" t="e">
        <f t="shared" ca="1" si="112"/>
        <v>#N/A</v>
      </c>
      <c r="AD220" s="376" t="e">
        <f t="shared" ca="1" si="113"/>
        <v>#N/A</v>
      </c>
      <c r="AE220" s="377">
        <f t="shared" ca="1" si="92"/>
        <v>158.90626918454765</v>
      </c>
      <c r="AF220" s="344"/>
      <c r="AG220" s="359">
        <f t="shared" ca="1" si="114"/>
        <v>47.668445635767014</v>
      </c>
      <c r="AH220" s="357">
        <f t="shared" ca="1" si="115"/>
        <v>57.23615308892208</v>
      </c>
    </row>
    <row r="221" spans="1:34" x14ac:dyDescent="0.25">
      <c r="A221" s="402">
        <f t="shared" ca="1" si="93"/>
        <v>0.01</v>
      </c>
      <c r="B221" s="357">
        <f t="shared" ca="1" si="94"/>
        <v>2.1699999999999977</v>
      </c>
      <c r="C221" s="342"/>
      <c r="D221" s="359">
        <f t="shared" ca="1" si="95"/>
        <v>12.60976119882355</v>
      </c>
      <c r="E221" s="360">
        <f t="shared" ca="1" si="96"/>
        <v>45.829341941839203</v>
      </c>
      <c r="F221" s="357">
        <f t="shared" ca="1" si="97"/>
        <v>47.532459018163344</v>
      </c>
      <c r="G221" s="359">
        <f t="shared" ca="1" si="98"/>
        <v>31.10805418867681</v>
      </c>
      <c r="H221" s="360">
        <f t="shared" ca="1" si="99"/>
        <v>137.16315632819538</v>
      </c>
      <c r="I221" s="357">
        <f t="shared" ca="1" si="100"/>
        <v>140.64651609378251</v>
      </c>
      <c r="J221" s="359">
        <f t="shared" ca="1" si="101"/>
        <v>33.881695863115077</v>
      </c>
      <c r="K221" s="360">
        <f t="shared" ca="1" si="102"/>
        <v>160.27560928073251</v>
      </c>
      <c r="L221" s="357">
        <f t="shared" ca="1" si="87"/>
        <v>163.81770430838867</v>
      </c>
      <c r="M221" s="359">
        <f t="shared" ca="1" si="103"/>
        <v>1.3477730917385167</v>
      </c>
      <c r="N221" s="357">
        <f t="shared" ca="1" si="104"/>
        <v>77.221709897915332</v>
      </c>
      <c r="O221" s="343"/>
      <c r="P221" s="363">
        <f t="shared" ca="1" si="105"/>
        <v>6</v>
      </c>
      <c r="Q221" s="357">
        <f t="shared" ca="1" si="106"/>
        <v>561.91000000000031</v>
      </c>
      <c r="R221" s="359">
        <f t="shared" ca="1" si="107"/>
        <v>0.28199644864625906</v>
      </c>
      <c r="S221" s="360">
        <f t="shared" ca="1" si="108"/>
        <v>8.909480759095791</v>
      </c>
      <c r="T221" s="357">
        <f t="shared" ca="1" si="88"/>
        <v>87.402006246729712</v>
      </c>
      <c r="U221" s="364">
        <f t="shared" ca="1" si="89"/>
        <v>0</v>
      </c>
      <c r="V221" s="359">
        <f t="shared" ca="1" si="90"/>
        <v>1.2055223276532478</v>
      </c>
      <c r="W221" s="357">
        <f t="shared" ca="1" si="91"/>
        <v>53.977508446142281</v>
      </c>
      <c r="X221" s="343"/>
      <c r="Y221" s="367" t="str">
        <f t="shared" ca="1" si="109"/>
        <v/>
      </c>
      <c r="Z221" s="368" t="str">
        <f t="shared" ca="1" si="110"/>
        <v/>
      </c>
      <c r="AA221" s="369" t="str">
        <f t="shared" ca="1" si="111"/>
        <v/>
      </c>
      <c r="AB221" s="344"/>
      <c r="AC221" s="363" t="e">
        <f t="shared" ca="1" si="112"/>
        <v>#N/A</v>
      </c>
      <c r="AD221" s="376" t="e">
        <f t="shared" ca="1" si="113"/>
        <v>#N/A</v>
      </c>
      <c r="AE221" s="377">
        <f t="shared" ca="1" si="92"/>
        <v>160.27560928073251</v>
      </c>
      <c r="AF221" s="344"/>
      <c r="AG221" s="359">
        <f t="shared" ca="1" si="114"/>
        <v>47.48297773632185</v>
      </c>
      <c r="AH221" s="357">
        <f t="shared" ca="1" si="115"/>
        <v>57.050350123485337</v>
      </c>
    </row>
    <row r="222" spans="1:34" x14ac:dyDescent="0.25">
      <c r="A222" s="402">
        <f t="shared" ca="1" si="93"/>
        <v>0.01</v>
      </c>
      <c r="B222" s="357">
        <f t="shared" ca="1" si="94"/>
        <v>2.1799999999999975</v>
      </c>
      <c r="C222" s="342"/>
      <c r="D222" s="359">
        <f t="shared" ca="1" si="95"/>
        <v>12.577214277835525</v>
      </c>
      <c r="E222" s="360">
        <f t="shared" ca="1" si="96"/>
        <v>45.646069277129655</v>
      </c>
      <c r="F222" s="357">
        <f t="shared" ca="1" si="97"/>
        <v>47.347121976347303</v>
      </c>
      <c r="G222" s="359">
        <f t="shared" ca="1" si="98"/>
        <v>31.233826331455166</v>
      </c>
      <c r="H222" s="360">
        <f t="shared" ca="1" si="99"/>
        <v>137.61961702096667</v>
      </c>
      <c r="I222" s="357">
        <f t="shared" ca="1" si="100"/>
        <v>141.11949155343865</v>
      </c>
      <c r="J222" s="359">
        <f t="shared" ca="1" si="101"/>
        <v>34.193405265715739</v>
      </c>
      <c r="K222" s="360">
        <f t="shared" ca="1" si="102"/>
        <v>161.64952314747833</v>
      </c>
      <c r="L222" s="357">
        <f t="shared" ca="1" si="87"/>
        <v>165.22638196569159</v>
      </c>
      <c r="M222" s="359">
        <f t="shared" ca="1" si="103"/>
        <v>1.3476193379328976</v>
      </c>
      <c r="N222" s="357">
        <f t="shared" ca="1" si="104"/>
        <v>77.212900453769279</v>
      </c>
      <c r="O222" s="343"/>
      <c r="P222" s="363">
        <f t="shared" ca="1" si="105"/>
        <v>6</v>
      </c>
      <c r="Q222" s="357">
        <f t="shared" ca="1" si="106"/>
        <v>560.45000000000039</v>
      </c>
      <c r="R222" s="359">
        <f t="shared" ca="1" si="107"/>
        <v>0.28126374267017124</v>
      </c>
      <c r="S222" s="360">
        <f t="shared" ca="1" si="108"/>
        <v>8.9066681216690888</v>
      </c>
      <c r="T222" s="357">
        <f t="shared" ca="1" si="88"/>
        <v>87.374414273573763</v>
      </c>
      <c r="U222" s="364">
        <f t="shared" ca="1" si="89"/>
        <v>0</v>
      </c>
      <c r="V222" s="359">
        <f t="shared" ca="1" si="90"/>
        <v>1.2053566999189909</v>
      </c>
      <c r="W222" s="357">
        <f t="shared" ca="1" si="91"/>
        <v>54.333691204807046</v>
      </c>
      <c r="X222" s="343"/>
      <c r="Y222" s="367" t="str">
        <f t="shared" ca="1" si="109"/>
        <v/>
      </c>
      <c r="Z222" s="368" t="str">
        <f t="shared" ca="1" si="110"/>
        <v/>
      </c>
      <c r="AA222" s="369" t="str">
        <f t="shared" ca="1" si="111"/>
        <v/>
      </c>
      <c r="AB222" s="344"/>
      <c r="AC222" s="363" t="e">
        <f t="shared" ca="1" si="112"/>
        <v>#N/A</v>
      </c>
      <c r="AD222" s="376" t="e">
        <f t="shared" ca="1" si="113"/>
        <v>#N/A</v>
      </c>
      <c r="AE222" s="377">
        <f t="shared" ca="1" si="92"/>
        <v>161.64952314747833</v>
      </c>
      <c r="AF222" s="344"/>
      <c r="AG222" s="359">
        <f t="shared" ca="1" si="114"/>
        <v>47.297379160735218</v>
      </c>
      <c r="AH222" s="357">
        <f t="shared" ca="1" si="115"/>
        <v>56.86441715748429</v>
      </c>
    </row>
    <row r="223" spans="1:34" x14ac:dyDescent="0.25">
      <c r="A223" s="402">
        <f t="shared" ca="1" si="93"/>
        <v>0.01</v>
      </c>
      <c r="B223" s="357">
        <f t="shared" ca="1" si="94"/>
        <v>2.1899999999999973</v>
      </c>
      <c r="C223" s="342"/>
      <c r="D223" s="359">
        <f t="shared" ca="1" si="95"/>
        <v>12.544560058241398</v>
      </c>
      <c r="E223" s="360">
        <f t="shared" ca="1" si="96"/>
        <v>45.462688417719903</v>
      </c>
      <c r="F223" s="357">
        <f t="shared" ca="1" si="97"/>
        <v>47.161658423146115</v>
      </c>
      <c r="G223" s="359">
        <f t="shared" ca="1" si="98"/>
        <v>31.359271932037579</v>
      </c>
      <c r="H223" s="360">
        <f t="shared" ca="1" si="99"/>
        <v>138.07424390514387</v>
      </c>
      <c r="I223" s="357">
        <f t="shared" ca="1" si="100"/>
        <v>141.59060973837438</v>
      </c>
      <c r="J223" s="359">
        <f t="shared" ca="1" si="101"/>
        <v>34.506370757033203</v>
      </c>
      <c r="K223" s="360">
        <f t="shared" ca="1" si="102"/>
        <v>163.02799245210889</v>
      </c>
      <c r="L223" s="357">
        <f t="shared" ca="1" si="87"/>
        <v>166.6397790018539</v>
      </c>
      <c r="M223" s="359">
        <f t="shared" ca="1" si="103"/>
        <v>1.3474659918293559</v>
      </c>
      <c r="N223" s="357">
        <f t="shared" ca="1" si="104"/>
        <v>77.204114369231561</v>
      </c>
      <c r="O223" s="343"/>
      <c r="P223" s="363">
        <f t="shared" ca="1" si="105"/>
        <v>6</v>
      </c>
      <c r="Q223" s="357">
        <f t="shared" ca="1" si="106"/>
        <v>558.99000000000035</v>
      </c>
      <c r="R223" s="359">
        <f t="shared" ca="1" si="107"/>
        <v>0.28053103669408336</v>
      </c>
      <c r="S223" s="360">
        <f t="shared" ca="1" si="108"/>
        <v>8.9038628113021474</v>
      </c>
      <c r="T223" s="357">
        <f t="shared" ca="1" si="88"/>
        <v>87.346894178874066</v>
      </c>
      <c r="U223" s="364">
        <f t="shared" ca="1" si="89"/>
        <v>0</v>
      </c>
      <c r="V223" s="359">
        <f t="shared" ca="1" si="90"/>
        <v>1.2051905457028982</v>
      </c>
      <c r="W223" s="357">
        <f t="shared" ca="1" si="91"/>
        <v>54.689535903472205</v>
      </c>
      <c r="X223" s="343"/>
      <c r="Y223" s="367" t="str">
        <f t="shared" ca="1" si="109"/>
        <v/>
      </c>
      <c r="Z223" s="368" t="str">
        <f t="shared" ca="1" si="110"/>
        <v/>
      </c>
      <c r="AA223" s="369" t="str">
        <f t="shared" ca="1" si="111"/>
        <v/>
      </c>
      <c r="AB223" s="344"/>
      <c r="AC223" s="363" t="e">
        <f t="shared" ca="1" si="112"/>
        <v>#N/A</v>
      </c>
      <c r="AD223" s="376" t="e">
        <f t="shared" ca="1" si="113"/>
        <v>#N/A</v>
      </c>
      <c r="AE223" s="377">
        <f t="shared" ca="1" si="92"/>
        <v>163.02799245210889</v>
      </c>
      <c r="AF223" s="344"/>
      <c r="AG223" s="359">
        <f t="shared" ca="1" si="114"/>
        <v>47.111652018220234</v>
      </c>
      <c r="AH223" s="357">
        <f t="shared" ca="1" si="115"/>
        <v>56.678356292125947</v>
      </c>
    </row>
    <row r="224" spans="1:34" x14ac:dyDescent="0.25">
      <c r="A224" s="402">
        <f t="shared" ca="1" si="93"/>
        <v>0.01</v>
      </c>
      <c r="B224" s="357">
        <f t="shared" ca="1" si="94"/>
        <v>2.1999999999999971</v>
      </c>
      <c r="C224" s="342"/>
      <c r="D224" s="359">
        <f t="shared" ca="1" si="95"/>
        <v>12.511799423284176</v>
      </c>
      <c r="E224" s="360">
        <f t="shared" ca="1" si="96"/>
        <v>45.279201337542958</v>
      </c>
      <c r="F224" s="357">
        <f t="shared" ca="1" si="97"/>
        <v>46.976070488858966</v>
      </c>
      <c r="G224" s="359">
        <f t="shared" ca="1" si="98"/>
        <v>31.484389926270421</v>
      </c>
      <c r="H224" s="360">
        <f t="shared" ca="1" si="99"/>
        <v>138.52703591851932</v>
      </c>
      <c r="I224" s="357">
        <f t="shared" ca="1" si="100"/>
        <v>142.05986938400366</v>
      </c>
      <c r="J224" s="359">
        <f t="shared" ca="1" si="101"/>
        <v>34.820589066324743</v>
      </c>
      <c r="K224" s="360">
        <f t="shared" ca="1" si="102"/>
        <v>164.41099885122722</v>
      </c>
      <c r="L224" s="357">
        <f t="shared" ca="1" si="87"/>
        <v>168.05787683469077</v>
      </c>
      <c r="M224" s="359">
        <f t="shared" ca="1" si="103"/>
        <v>1.3473130490010385</v>
      </c>
      <c r="N224" s="357">
        <f t="shared" ca="1" si="104"/>
        <v>77.195351390662182</v>
      </c>
      <c r="O224" s="343"/>
      <c r="P224" s="363">
        <f t="shared" ca="1" si="105"/>
        <v>6</v>
      </c>
      <c r="Q224" s="357">
        <f t="shared" ca="1" si="106"/>
        <v>557.53000000000043</v>
      </c>
      <c r="R224" s="359">
        <f t="shared" ca="1" si="107"/>
        <v>0.27979833071799548</v>
      </c>
      <c r="S224" s="360">
        <f t="shared" ca="1" si="108"/>
        <v>8.9010648279949667</v>
      </c>
      <c r="T224" s="357">
        <f t="shared" ca="1" si="88"/>
        <v>87.319445962630624</v>
      </c>
      <c r="U224" s="364">
        <f t="shared" ca="1" si="89"/>
        <v>0</v>
      </c>
      <c r="V224" s="359">
        <f t="shared" ca="1" si="90"/>
        <v>1.2050238674361251</v>
      </c>
      <c r="W224" s="357">
        <f t="shared" ca="1" si="91"/>
        <v>55.045026965988235</v>
      </c>
      <c r="X224" s="343"/>
      <c r="Y224" s="367" t="str">
        <f t="shared" ca="1" si="109"/>
        <v/>
      </c>
      <c r="Z224" s="368" t="str">
        <f t="shared" ca="1" si="110"/>
        <v/>
      </c>
      <c r="AA224" s="369" t="str">
        <f t="shared" ca="1" si="111"/>
        <v/>
      </c>
      <c r="AB224" s="344"/>
      <c r="AC224" s="363" t="e">
        <f t="shared" ca="1" si="112"/>
        <v>#N/A</v>
      </c>
      <c r="AD224" s="376" t="e">
        <f t="shared" ca="1" si="113"/>
        <v>#N/A</v>
      </c>
      <c r="AE224" s="377">
        <f t="shared" ca="1" si="92"/>
        <v>164.41099885122722</v>
      </c>
      <c r="AF224" s="344"/>
      <c r="AG224" s="359">
        <f t="shared" ca="1" si="114"/>
        <v>46.925798413192041</v>
      </c>
      <c r="AH224" s="357">
        <f t="shared" ca="1" si="115"/>
        <v>56.492169623911941</v>
      </c>
    </row>
    <row r="225" spans="1:34" x14ac:dyDescent="0.25">
      <c r="A225" s="402">
        <f t="shared" ca="1" si="93"/>
        <v>0.01</v>
      </c>
      <c r="B225" s="357">
        <f t="shared" ca="1" si="94"/>
        <v>2.2099999999999969</v>
      </c>
      <c r="C225" s="342"/>
      <c r="D225" s="359">
        <f t="shared" ca="1" si="95"/>
        <v>12.478933250303019</v>
      </c>
      <c r="E225" s="360">
        <f t="shared" ca="1" si="96"/>
        <v>45.095610006663577</v>
      </c>
      <c r="F225" s="357">
        <f t="shared" ca="1" si="97"/>
        <v>46.790360299303252</v>
      </c>
      <c r="G225" s="359">
        <f t="shared" ca="1" si="98"/>
        <v>31.609179258773452</v>
      </c>
      <c r="H225" s="360">
        <f t="shared" ca="1" si="99"/>
        <v>138.97799201858595</v>
      </c>
      <c r="I225" s="357">
        <f t="shared" ca="1" si="100"/>
        <v>142.52726924673541</v>
      </c>
      <c r="J225" s="359">
        <f t="shared" ca="1" si="101"/>
        <v>35.136056912249963</v>
      </c>
      <c r="K225" s="360">
        <f t="shared" ca="1" si="102"/>
        <v>165.79852399091274</v>
      </c>
      <c r="L225" s="357">
        <f t="shared" ca="1" si="87"/>
        <v>169.48065686946737</v>
      </c>
      <c r="M225" s="359">
        <f t="shared" ca="1" si="103"/>
        <v>1.3471605050762652</v>
      </c>
      <c r="N225" s="357">
        <f t="shared" ca="1" si="104"/>
        <v>77.186611267582308</v>
      </c>
      <c r="O225" s="343"/>
      <c r="P225" s="363">
        <f t="shared" ca="1" si="105"/>
        <v>6</v>
      </c>
      <c r="Q225" s="357">
        <f t="shared" ca="1" si="106"/>
        <v>556.07000000000039</v>
      </c>
      <c r="R225" s="359">
        <f t="shared" ca="1" si="107"/>
        <v>0.2790656247419076</v>
      </c>
      <c r="S225" s="360">
        <f t="shared" ca="1" si="108"/>
        <v>8.8982741717475484</v>
      </c>
      <c r="T225" s="357">
        <f t="shared" ca="1" si="88"/>
        <v>87.29206962484345</v>
      </c>
      <c r="U225" s="364">
        <f t="shared" ca="1" si="89"/>
        <v>0</v>
      </c>
      <c r="V225" s="359">
        <f t="shared" ca="1" si="90"/>
        <v>1.2048566675505321</v>
      </c>
      <c r="W225" s="357">
        <f t="shared" ca="1" si="91"/>
        <v>55.400148888089205</v>
      </c>
      <c r="X225" s="343"/>
      <c r="Y225" s="367" t="str">
        <f t="shared" ca="1" si="109"/>
        <v/>
      </c>
      <c r="Z225" s="368" t="str">
        <f t="shared" ca="1" si="110"/>
        <v/>
      </c>
      <c r="AA225" s="369" t="str">
        <f t="shared" ca="1" si="111"/>
        <v/>
      </c>
      <c r="AB225" s="344"/>
      <c r="AC225" s="363" t="e">
        <f t="shared" ca="1" si="112"/>
        <v>#N/A</v>
      </c>
      <c r="AD225" s="376" t="e">
        <f t="shared" ca="1" si="113"/>
        <v>#N/A</v>
      </c>
      <c r="AE225" s="377">
        <f t="shared" ca="1" si="92"/>
        <v>165.79852399091274</v>
      </c>
      <c r="AF225" s="344"/>
      <c r="AG225" s="359">
        <f t="shared" ca="1" si="114"/>
        <v>46.739820445201197</v>
      </c>
      <c r="AH225" s="357">
        <f t="shared" ca="1" si="115"/>
        <v>56.305859244570222</v>
      </c>
    </row>
    <row r="226" spans="1:34" x14ac:dyDescent="0.25">
      <c r="A226" s="402">
        <f t="shared" ca="1" si="93"/>
        <v>0.01</v>
      </c>
      <c r="B226" s="357">
        <f t="shared" ca="1" si="94"/>
        <v>2.2199999999999966</v>
      </c>
      <c r="C226" s="342"/>
      <c r="D226" s="359">
        <f t="shared" ca="1" si="95"/>
        <v>12.445962410808642</v>
      </c>
      <c r="E226" s="360">
        <f t="shared" ca="1" si="96"/>
        <v>44.911916391197764</v>
      </c>
      <c r="F226" s="357">
        <f t="shared" ca="1" si="97"/>
        <v>46.604529975756648</v>
      </c>
      <c r="G226" s="359">
        <f t="shared" ca="1" si="98"/>
        <v>31.733638882881539</v>
      </c>
      <c r="H226" s="360">
        <f t="shared" ca="1" si="99"/>
        <v>139.42711118249792</v>
      </c>
      <c r="I226" s="357">
        <f t="shared" ca="1" si="100"/>
        <v>142.99280810392446</v>
      </c>
      <c r="J226" s="359">
        <f t="shared" ca="1" si="101"/>
        <v>35.452771002958237</v>
      </c>
      <c r="K226" s="360">
        <f t="shared" ca="1" si="102"/>
        <v>167.19054950691816</v>
      </c>
      <c r="L226" s="357">
        <f t="shared" ca="1" si="87"/>
        <v>170.90810049910871</v>
      </c>
      <c r="M226" s="359">
        <f t="shared" ca="1" si="103"/>
        <v>1.3470083557375381</v>
      </c>
      <c r="N226" s="357">
        <f t="shared" ca="1" si="104"/>
        <v>77.177893752617535</v>
      </c>
      <c r="O226" s="343"/>
      <c r="P226" s="363">
        <f t="shared" ca="1" si="105"/>
        <v>6</v>
      </c>
      <c r="Q226" s="357">
        <f t="shared" ca="1" si="106"/>
        <v>554.61000000000047</v>
      </c>
      <c r="R226" s="359">
        <f t="shared" ca="1" si="107"/>
        <v>0.27833291876581978</v>
      </c>
      <c r="S226" s="360">
        <f t="shared" ca="1" si="108"/>
        <v>8.8954908425598909</v>
      </c>
      <c r="T226" s="357">
        <f t="shared" ca="1" si="88"/>
        <v>87.264765165512529</v>
      </c>
      <c r="U226" s="364">
        <f t="shared" ca="1" si="89"/>
        <v>0</v>
      </c>
      <c r="V226" s="359">
        <f t="shared" ca="1" si="90"/>
        <v>1.2046889484786485</v>
      </c>
      <c r="W226" s="357">
        <f t="shared" ca="1" si="91"/>
        <v>55.754886237768481</v>
      </c>
      <c r="X226" s="343"/>
      <c r="Y226" s="367" t="str">
        <f t="shared" ca="1" si="109"/>
        <v/>
      </c>
      <c r="Z226" s="368" t="str">
        <f t="shared" ca="1" si="110"/>
        <v/>
      </c>
      <c r="AA226" s="369" t="str">
        <f t="shared" ca="1" si="111"/>
        <v/>
      </c>
      <c r="AB226" s="344"/>
      <c r="AC226" s="363" t="e">
        <f t="shared" ca="1" si="112"/>
        <v>#N/A</v>
      </c>
      <c r="AD226" s="376" t="e">
        <f t="shared" ca="1" si="113"/>
        <v>#N/A</v>
      </c>
      <c r="AE226" s="377">
        <f t="shared" ca="1" si="92"/>
        <v>167.19054950691816</v>
      </c>
      <c r="AF226" s="344"/>
      <c r="AG226" s="359">
        <f t="shared" ca="1" si="114"/>
        <v>46.553720208867801</v>
      </c>
      <c r="AH226" s="357">
        <f t="shared" ca="1" si="115"/>
        <v>56.119427240987598</v>
      </c>
    </row>
    <row r="227" spans="1:34" x14ac:dyDescent="0.25">
      <c r="A227" s="402">
        <f t="shared" ca="1" si="93"/>
        <v>0.01</v>
      </c>
      <c r="B227" s="357">
        <f t="shared" ca="1" si="94"/>
        <v>2.2299999999999964</v>
      </c>
      <c r="C227" s="342"/>
      <c r="D227" s="359">
        <f t="shared" ca="1" si="95"/>
        <v>12.412887770556628</v>
      </c>
      <c r="E227" s="360">
        <f t="shared" ca="1" si="96"/>
        <v>44.728122453232956</v>
      </c>
      <c r="F227" s="357">
        <f t="shared" ca="1" si="97"/>
        <v>46.418581634899581</v>
      </c>
      <c r="G227" s="359">
        <f t="shared" ca="1" si="98"/>
        <v>31.857767760587105</v>
      </c>
      <c r="H227" s="360">
        <f t="shared" ca="1" si="99"/>
        <v>139.87439240703026</v>
      </c>
      <c r="I227" s="357">
        <f t="shared" ca="1" si="100"/>
        <v>143.45648475382137</v>
      </c>
      <c r="J227" s="359">
        <f t="shared" ca="1" si="101"/>
        <v>35.770728036175576</v>
      </c>
      <c r="K227" s="360">
        <f t="shared" ca="1" si="102"/>
        <v>168.5870570248658</v>
      </c>
      <c r="L227" s="357">
        <f t="shared" ca="1" si="87"/>
        <v>172.34018910440881</v>
      </c>
      <c r="M227" s="359">
        <f t="shared" ca="1" si="103"/>
        <v>1.346856596720573</v>
      </c>
      <c r="N227" s="357">
        <f t="shared" ca="1" si="104"/>
        <v>77.169198601442389</v>
      </c>
      <c r="O227" s="343"/>
      <c r="P227" s="363">
        <f t="shared" ca="1" si="105"/>
        <v>6</v>
      </c>
      <c r="Q227" s="357">
        <f t="shared" ca="1" si="106"/>
        <v>553.15000000000055</v>
      </c>
      <c r="R227" s="359">
        <f t="shared" ca="1" si="107"/>
        <v>0.2776002127897319</v>
      </c>
      <c r="S227" s="360">
        <f t="shared" ca="1" si="108"/>
        <v>8.892714840431994</v>
      </c>
      <c r="T227" s="357">
        <f t="shared" ca="1" si="88"/>
        <v>87.237532584637862</v>
      </c>
      <c r="U227" s="364">
        <f t="shared" ca="1" si="89"/>
        <v>0</v>
      </c>
      <c r="V227" s="359">
        <f t="shared" ca="1" si="90"/>
        <v>1.2045207126536386</v>
      </c>
      <c r="W227" s="357">
        <f t="shared" ca="1" si="91"/>
        <v>56.109223655648634</v>
      </c>
      <c r="X227" s="343"/>
      <c r="Y227" s="367" t="str">
        <f t="shared" ca="1" si="109"/>
        <v/>
      </c>
      <c r="Z227" s="368" t="str">
        <f t="shared" ca="1" si="110"/>
        <v/>
      </c>
      <c r="AA227" s="369" t="str">
        <f t="shared" ca="1" si="111"/>
        <v/>
      </c>
      <c r="AB227" s="344"/>
      <c r="AC227" s="363" t="e">
        <f t="shared" ca="1" si="112"/>
        <v>#N/A</v>
      </c>
      <c r="AD227" s="376" t="e">
        <f t="shared" ca="1" si="113"/>
        <v>#N/A</v>
      </c>
      <c r="AE227" s="377">
        <f t="shared" ca="1" si="92"/>
        <v>168.5870570248658</v>
      </c>
      <c r="AF227" s="344"/>
      <c r="AG227" s="359">
        <f t="shared" ca="1" si="114"/>
        <v>46.367499793815895</v>
      </c>
      <c r="AH227" s="357">
        <f t="shared" ca="1" si="115"/>
        <v>55.932875695142542</v>
      </c>
    </row>
    <row r="228" spans="1:34" x14ac:dyDescent="0.25">
      <c r="A228" s="402">
        <f t="shared" ca="1" si="93"/>
        <v>0.01</v>
      </c>
      <c r="B228" s="357">
        <f t="shared" ca="1" si="94"/>
        <v>2.2399999999999962</v>
      </c>
      <c r="C228" s="342"/>
      <c r="D228" s="359">
        <f t="shared" ca="1" si="95"/>
        <v>12.379710189618944</v>
      </c>
      <c r="E228" s="360">
        <f t="shared" ca="1" si="96"/>
        <v>44.544230150749243</v>
      </c>
      <c r="F228" s="357">
        <f t="shared" ca="1" si="97"/>
        <v>46.232517388758673</v>
      </c>
      <c r="G228" s="359">
        <f t="shared" ca="1" si="98"/>
        <v>31.981564862483296</v>
      </c>
      <c r="H228" s="360">
        <f t="shared" ca="1" si="99"/>
        <v>140.31983470853774</v>
      </c>
      <c r="I228" s="357">
        <f t="shared" ca="1" si="100"/>
        <v>143.91829801552191</v>
      </c>
      <c r="J228" s="359">
        <f t="shared" ca="1" si="101"/>
        <v>36.089924699290926</v>
      </c>
      <c r="K228" s="360">
        <f t="shared" ca="1" si="102"/>
        <v>169.98802816044363</v>
      </c>
      <c r="L228" s="357">
        <f t="shared" ca="1" si="87"/>
        <v>173.77690405423922</v>
      </c>
      <c r="M228" s="359">
        <f t="shared" ca="1" si="103"/>
        <v>1.3467052238133528</v>
      </c>
      <c r="N228" s="357">
        <f t="shared" ca="1" si="104"/>
        <v>77.160525572726044</v>
      </c>
      <c r="O228" s="343"/>
      <c r="P228" s="363">
        <f t="shared" ca="1" si="105"/>
        <v>6</v>
      </c>
      <c r="Q228" s="357">
        <f t="shared" ca="1" si="106"/>
        <v>551.69000000000051</v>
      </c>
      <c r="R228" s="359">
        <f t="shared" ca="1" si="107"/>
        <v>0.27686750681364403</v>
      </c>
      <c r="S228" s="360">
        <f t="shared" ca="1" si="108"/>
        <v>8.8899461653638578</v>
      </c>
      <c r="T228" s="357">
        <f t="shared" ca="1" si="88"/>
        <v>87.210371882219448</v>
      </c>
      <c r="U228" s="364">
        <f t="shared" ca="1" si="89"/>
        <v>0</v>
      </c>
      <c r="V228" s="359">
        <f t="shared" ca="1" si="90"/>
        <v>1.2043519625092676</v>
      </c>
      <c r="W228" s="357">
        <f t="shared" ca="1" si="91"/>
        <v>56.463145855345651</v>
      </c>
      <c r="X228" s="343"/>
      <c r="Y228" s="367" t="str">
        <f t="shared" ca="1" si="109"/>
        <v/>
      </c>
      <c r="Z228" s="368" t="str">
        <f t="shared" ca="1" si="110"/>
        <v/>
      </c>
      <c r="AA228" s="369" t="str">
        <f t="shared" ca="1" si="111"/>
        <v/>
      </c>
      <c r="AB228" s="344"/>
      <c r="AC228" s="363" t="e">
        <f t="shared" ca="1" si="112"/>
        <v>#N/A</v>
      </c>
      <c r="AD228" s="376" t="e">
        <f t="shared" ca="1" si="113"/>
        <v>#N/A</v>
      </c>
      <c r="AE228" s="377">
        <f t="shared" ca="1" si="92"/>
        <v>169.98802816044363</v>
      </c>
      <c r="AF228" s="344"/>
      <c r="AG228" s="359">
        <f t="shared" ca="1" si="114"/>
        <v>46.181161284608621</v>
      </c>
      <c r="AH228" s="357">
        <f t="shared" ca="1" si="115"/>
        <v>55.74620668403881</v>
      </c>
    </row>
    <row r="229" spans="1:34" x14ac:dyDescent="0.25">
      <c r="A229" s="402">
        <f t="shared" ca="1" si="93"/>
        <v>0.01</v>
      </c>
      <c r="B229" s="357">
        <f t="shared" ca="1" si="94"/>
        <v>2.249999999999996</v>
      </c>
      <c r="C229" s="342"/>
      <c r="D229" s="359">
        <f t="shared" ca="1" si="95"/>
        <v>12.346430522453456</v>
      </c>
      <c r="E229" s="360">
        <f t="shared" ca="1" si="96"/>
        <v>44.360241437541532</v>
      </c>
      <c r="F229" s="357">
        <f t="shared" ca="1" si="97"/>
        <v>46.046339344650917</v>
      </c>
      <c r="G229" s="359">
        <f t="shared" ca="1" si="98"/>
        <v>32.105029167707833</v>
      </c>
      <c r="H229" s="360">
        <f t="shared" ca="1" si="99"/>
        <v>140.76343712291316</v>
      </c>
      <c r="I229" s="357">
        <f t="shared" ca="1" si="100"/>
        <v>144.37824672891585</v>
      </c>
      <c r="J229" s="359">
        <f t="shared" ca="1" si="101"/>
        <v>36.410357669441879</v>
      </c>
      <c r="K229" s="360">
        <f t="shared" ca="1" si="102"/>
        <v>171.39344451960088</v>
      </c>
      <c r="L229" s="357">
        <f t="shared" ca="1" si="87"/>
        <v>175.21822670575739</v>
      </c>
      <c r="M229" s="359">
        <f t="shared" ca="1" si="103"/>
        <v>1.3465542328551994</v>
      </c>
      <c r="N229" s="357">
        <f t="shared" ca="1" si="104"/>
        <v>77.151874428079211</v>
      </c>
      <c r="O229" s="343"/>
      <c r="P229" s="363">
        <f t="shared" ca="1" si="105"/>
        <v>6</v>
      </c>
      <c r="Q229" s="357">
        <f t="shared" ca="1" si="106"/>
        <v>550.23000000000059</v>
      </c>
      <c r="R229" s="359">
        <f t="shared" ca="1" si="107"/>
        <v>0.2761348008375562</v>
      </c>
      <c r="S229" s="360">
        <f t="shared" ca="1" si="108"/>
        <v>8.8871848173554824</v>
      </c>
      <c r="T229" s="357">
        <f t="shared" ca="1" si="88"/>
        <v>87.183283058257288</v>
      </c>
      <c r="U229" s="364">
        <f t="shared" ca="1" si="89"/>
        <v>0</v>
      </c>
      <c r="V229" s="359">
        <f t="shared" ca="1" si="90"/>
        <v>1.2041827004798669</v>
      </c>
      <c r="W229" s="357">
        <f t="shared" ca="1" si="91"/>
        <v>56.816637623827447</v>
      </c>
      <c r="X229" s="343"/>
      <c r="Y229" s="367" t="str">
        <f t="shared" ca="1" si="109"/>
        <v/>
      </c>
      <c r="Z229" s="368" t="str">
        <f t="shared" ca="1" si="110"/>
        <v/>
      </c>
      <c r="AA229" s="369" t="str">
        <f t="shared" ca="1" si="111"/>
        <v/>
      </c>
      <c r="AB229" s="344"/>
      <c r="AC229" s="363" t="e">
        <f t="shared" ca="1" si="112"/>
        <v>#N/A</v>
      </c>
      <c r="AD229" s="376" t="e">
        <f t="shared" ca="1" si="113"/>
        <v>#N/A</v>
      </c>
      <c r="AE229" s="377">
        <f t="shared" ca="1" si="92"/>
        <v>171.39344451960088</v>
      </c>
      <c r="AF229" s="344"/>
      <c r="AG229" s="359">
        <f t="shared" ca="1" si="114"/>
        <v>45.994706760683883</v>
      </c>
      <c r="AH229" s="357">
        <f t="shared" ca="1" si="115"/>
        <v>55.559422279639591</v>
      </c>
    </row>
    <row r="230" spans="1:34" x14ac:dyDescent="0.25">
      <c r="A230" s="402">
        <f t="shared" ca="1" si="93"/>
        <v>0.01</v>
      </c>
      <c r="B230" s="357">
        <f t="shared" ca="1" si="94"/>
        <v>2.2599999999999958</v>
      </c>
      <c r="C230" s="342"/>
      <c r="D230" s="359">
        <f t="shared" ca="1" si="95"/>
        <v>12.313049617971769</v>
      </c>
      <c r="E230" s="360">
        <f t="shared" ca="1" si="96"/>
        <v>44.176158263142426</v>
      </c>
      <c r="F230" s="357">
        <f t="shared" ca="1" si="97"/>
        <v>45.860049605128445</v>
      </c>
      <c r="G230" s="359">
        <f t="shared" ca="1" si="98"/>
        <v>32.228159663887553</v>
      </c>
      <c r="H230" s="360">
        <f t="shared" ca="1" si="99"/>
        <v>141.20519870554457</v>
      </c>
      <c r="I230" s="357">
        <f t="shared" ca="1" si="100"/>
        <v>144.83632975463496</v>
      </c>
      <c r="J230" s="359">
        <f t="shared" ca="1" si="101"/>
        <v>36.732023613599857</v>
      </c>
      <c r="K230" s="360">
        <f t="shared" ca="1" si="102"/>
        <v>172.80328769874316</v>
      </c>
      <c r="L230" s="357">
        <f t="shared" ca="1" si="87"/>
        <v>176.66413840461414</v>
      </c>
      <c r="M230" s="359">
        <f t="shared" ca="1" si="103"/>
        <v>1.3464036197358684</v>
      </c>
      <c r="N230" s="357">
        <f t="shared" ca="1" si="104"/>
        <v>77.143244932002247</v>
      </c>
      <c r="O230" s="343"/>
      <c r="P230" s="363">
        <f t="shared" ca="1" si="105"/>
        <v>6</v>
      </c>
      <c r="Q230" s="357">
        <f t="shared" ca="1" si="106"/>
        <v>548.77000000000055</v>
      </c>
      <c r="R230" s="359">
        <f t="shared" ca="1" si="107"/>
        <v>0.27540209486146833</v>
      </c>
      <c r="S230" s="360">
        <f t="shared" ca="1" si="108"/>
        <v>8.8844307964068676</v>
      </c>
      <c r="T230" s="357">
        <f t="shared" ca="1" si="88"/>
        <v>87.156266112751382</v>
      </c>
      <c r="U230" s="364">
        <f t="shared" ca="1" si="89"/>
        <v>0</v>
      </c>
      <c r="V230" s="359">
        <f t="shared" ca="1" si="90"/>
        <v>1.2040129290002999</v>
      </c>
      <c r="W230" s="357">
        <f t="shared" ca="1" si="91"/>
        <v>57.169683821766569</v>
      </c>
      <c r="X230" s="343"/>
      <c r="Y230" s="367" t="str">
        <f t="shared" ca="1" si="109"/>
        <v/>
      </c>
      <c r="Z230" s="368" t="str">
        <f t="shared" ca="1" si="110"/>
        <v/>
      </c>
      <c r="AA230" s="369" t="str">
        <f t="shared" ca="1" si="111"/>
        <v/>
      </c>
      <c r="AB230" s="344"/>
      <c r="AC230" s="363" t="e">
        <f t="shared" ca="1" si="112"/>
        <v>#N/A</v>
      </c>
      <c r="AD230" s="376" t="e">
        <f t="shared" ca="1" si="113"/>
        <v>#N/A</v>
      </c>
      <c r="AE230" s="377">
        <f t="shared" ca="1" si="92"/>
        <v>172.80328769874316</v>
      </c>
      <c r="AF230" s="344"/>
      <c r="AG230" s="359">
        <f t="shared" ca="1" si="114"/>
        <v>45.808138296290494</v>
      </c>
      <c r="AH230" s="357">
        <f t="shared" ca="1" si="115"/>
        <v>55.372524548802147</v>
      </c>
    </row>
    <row r="231" spans="1:34" x14ac:dyDescent="0.25">
      <c r="A231" s="402">
        <f t="shared" ca="1" si="93"/>
        <v>0.01</v>
      </c>
      <c r="B231" s="357">
        <f t="shared" ca="1" si="94"/>
        <v>2.2699999999999956</v>
      </c>
      <c r="C231" s="342"/>
      <c r="D231" s="359">
        <f t="shared" ca="1" si="95"/>
        <v>12.279568319605179</v>
      </c>
      <c r="E231" s="360">
        <f t="shared" ca="1" si="96"/>
        <v>43.991982572746167</v>
      </c>
      <c r="F231" s="357">
        <f t="shared" ca="1" si="97"/>
        <v>45.673650267924216</v>
      </c>
      <c r="G231" s="359">
        <f t="shared" ca="1" si="98"/>
        <v>32.350955347083605</v>
      </c>
      <c r="H231" s="360">
        <f t="shared" ca="1" si="99"/>
        <v>141.64511853127203</v>
      </c>
      <c r="I231" s="357">
        <f t="shared" ca="1" si="100"/>
        <v>145.29254597400066</v>
      </c>
      <c r="J231" s="359">
        <f t="shared" ca="1" si="101"/>
        <v>37.054919188654715</v>
      </c>
      <c r="K231" s="360">
        <f t="shared" ca="1" si="102"/>
        <v>174.21753928492726</v>
      </c>
      <c r="L231" s="357">
        <f t="shared" ca="1" si="87"/>
        <v>178.11462048516091</v>
      </c>
      <c r="M231" s="359">
        <f t="shared" ca="1" si="103"/>
        <v>1.3462533803946612</v>
      </c>
      <c r="N231" s="357">
        <f t="shared" ca="1" si="104"/>
        <v>77.134636851834259</v>
      </c>
      <c r="O231" s="343"/>
      <c r="P231" s="363">
        <f t="shared" ca="1" si="105"/>
        <v>6</v>
      </c>
      <c r="Q231" s="357">
        <f t="shared" ca="1" si="106"/>
        <v>547.31000000000063</v>
      </c>
      <c r="R231" s="359">
        <f t="shared" ca="1" si="107"/>
        <v>0.27466938888538045</v>
      </c>
      <c r="S231" s="360">
        <f t="shared" ca="1" si="108"/>
        <v>8.8816841025180135</v>
      </c>
      <c r="T231" s="357">
        <f t="shared" ca="1" si="88"/>
        <v>87.129321045701715</v>
      </c>
      <c r="U231" s="364">
        <f t="shared" ca="1" si="89"/>
        <v>0</v>
      </c>
      <c r="V231" s="359">
        <f t="shared" ca="1" si="90"/>
        <v>1.2038426505059288</v>
      </c>
      <c r="W231" s="357">
        <f t="shared" ca="1" si="91"/>
        <v>57.522269383887462</v>
      </c>
      <c r="X231" s="343"/>
      <c r="Y231" s="367" t="str">
        <f t="shared" ca="1" si="109"/>
        <v/>
      </c>
      <c r="Z231" s="368" t="str">
        <f t="shared" ca="1" si="110"/>
        <v/>
      </c>
      <c r="AA231" s="369" t="str">
        <f t="shared" ca="1" si="111"/>
        <v/>
      </c>
      <c r="AB231" s="344"/>
      <c r="AC231" s="363" t="e">
        <f t="shared" ca="1" si="112"/>
        <v>#N/A</v>
      </c>
      <c r="AD231" s="376" t="e">
        <f t="shared" ca="1" si="113"/>
        <v>#N/A</v>
      </c>
      <c r="AE231" s="377">
        <f t="shared" ca="1" si="92"/>
        <v>174.21753928492726</v>
      </c>
      <c r="AF231" s="344"/>
      <c r="AG231" s="359">
        <f t="shared" ca="1" si="114"/>
        <v>45.621457960424976</v>
      </c>
      <c r="AH231" s="357">
        <f t="shared" ca="1" si="115"/>
        <v>55.185515553213179</v>
      </c>
    </row>
    <row r="232" spans="1:34" x14ac:dyDescent="0.25">
      <c r="A232" s="402">
        <f t="shared" ca="1" si="93"/>
        <v>0.01</v>
      </c>
      <c r="B232" s="357">
        <f t="shared" ca="1" si="94"/>
        <v>2.2799999999999954</v>
      </c>
      <c r="C232" s="342"/>
      <c r="D232" s="359">
        <f t="shared" ca="1" si="95"/>
        <v>12.245987465369007</v>
      </c>
      <c r="E232" s="360">
        <f t="shared" ca="1" si="96"/>
        <v>43.807716307133241</v>
      </c>
      <c r="F232" s="357">
        <f t="shared" ca="1" si="97"/>
        <v>45.487143425898296</v>
      </c>
      <c r="G232" s="359">
        <f t="shared" ca="1" si="98"/>
        <v>32.473415221737298</v>
      </c>
      <c r="H232" s="360">
        <f t="shared" ca="1" si="99"/>
        <v>142.08319569434337</v>
      </c>
      <c r="I232" s="357">
        <f t="shared" ca="1" si="100"/>
        <v>145.74689428897082</v>
      </c>
      <c r="J232" s="359">
        <f t="shared" ca="1" si="101"/>
        <v>37.379041041498823</v>
      </c>
      <c r="K232" s="360">
        <f t="shared" ca="1" si="102"/>
        <v>175.63618085605532</v>
      </c>
      <c r="L232" s="357">
        <f t="shared" ca="1" si="87"/>
        <v>179.56965427065629</v>
      </c>
      <c r="M232" s="359">
        <f t="shared" ca="1" si="103"/>
        <v>1.3461035108195574</v>
      </c>
      <c r="N232" s="357">
        <f t="shared" ca="1" si="104"/>
        <v>77.126049957703387</v>
      </c>
      <c r="O232" s="343"/>
      <c r="P232" s="363">
        <f t="shared" ca="1" si="105"/>
        <v>6</v>
      </c>
      <c r="Q232" s="357">
        <f t="shared" ca="1" si="106"/>
        <v>545.8500000000007</v>
      </c>
      <c r="R232" s="359">
        <f t="shared" ca="1" si="107"/>
        <v>0.27393668290929263</v>
      </c>
      <c r="S232" s="360">
        <f t="shared" ca="1" si="108"/>
        <v>8.8789447356889202</v>
      </c>
      <c r="T232" s="357">
        <f t="shared" ca="1" si="88"/>
        <v>87.102447857108316</v>
      </c>
      <c r="U232" s="364">
        <f t="shared" ca="1" si="89"/>
        <v>0</v>
      </c>
      <c r="V232" s="359">
        <f t="shared" ca="1" si="90"/>
        <v>1.2036718674325801</v>
      </c>
      <c r="W232" s="357">
        <f t="shared" ca="1" si="91"/>
        <v>57.874379319307721</v>
      </c>
      <c r="X232" s="343"/>
      <c r="Y232" s="367" t="str">
        <f t="shared" ca="1" si="109"/>
        <v/>
      </c>
      <c r="Z232" s="368" t="str">
        <f t="shared" ca="1" si="110"/>
        <v/>
      </c>
      <c r="AA232" s="369" t="str">
        <f t="shared" ca="1" si="111"/>
        <v/>
      </c>
      <c r="AB232" s="344"/>
      <c r="AC232" s="363" t="e">
        <f t="shared" ca="1" si="112"/>
        <v>#N/A</v>
      </c>
      <c r="AD232" s="376" t="e">
        <f t="shared" ca="1" si="113"/>
        <v>#N/A</v>
      </c>
      <c r="AE232" s="377">
        <f t="shared" ca="1" si="92"/>
        <v>175.63618085605532</v>
      </c>
      <c r="AF232" s="344"/>
      <c r="AG232" s="359">
        <f t="shared" ca="1" si="114"/>
        <v>45.434667816768766</v>
      </c>
      <c r="AH232" s="357">
        <f t="shared" ca="1" si="115"/>
        <v>54.998397349324613</v>
      </c>
    </row>
    <row r="233" spans="1:34" x14ac:dyDescent="0.25">
      <c r="A233" s="402">
        <f t="shared" ca="1" si="93"/>
        <v>0.01</v>
      </c>
      <c r="B233" s="357">
        <f t="shared" ca="1" si="94"/>
        <v>2.2899999999999952</v>
      </c>
      <c r="C233" s="342"/>
      <c r="D233" s="359">
        <f t="shared" ca="1" si="95"/>
        <v>12.212307887925228</v>
      </c>
      <c r="E233" s="360">
        <f t="shared" ca="1" si="96"/>
        <v>43.623361402596039</v>
      </c>
      <c r="F233" s="357">
        <f t="shared" ca="1" si="97"/>
        <v>45.300531166985081</v>
      </c>
      <c r="G233" s="359">
        <f t="shared" ca="1" si="98"/>
        <v>32.595538300616553</v>
      </c>
      <c r="H233" s="360">
        <f t="shared" ca="1" si="99"/>
        <v>142.51942930836933</v>
      </c>
      <c r="I233" s="357">
        <f t="shared" ca="1" si="100"/>
        <v>146.19937362208583</v>
      </c>
      <c r="J233" s="359">
        <f t="shared" ca="1" si="101"/>
        <v>37.70438580911059</v>
      </c>
      <c r="K233" s="360">
        <f t="shared" ca="1" si="102"/>
        <v>177.05919398106889</v>
      </c>
      <c r="L233" s="357">
        <f t="shared" ca="1" si="87"/>
        <v>181.02922107347212</v>
      </c>
      <c r="M233" s="359">
        <f t="shared" ca="1" si="103"/>
        <v>1.3459540070463647</v>
      </c>
      <c r="N233" s="357">
        <f t="shared" ca="1" si="104"/>
        <v>77.117484022478166</v>
      </c>
      <c r="O233" s="343"/>
      <c r="P233" s="363">
        <f t="shared" ca="1" si="105"/>
        <v>6</v>
      </c>
      <c r="Q233" s="357">
        <f t="shared" ca="1" si="106"/>
        <v>544.39000000000067</v>
      </c>
      <c r="R233" s="359">
        <f t="shared" ca="1" si="107"/>
        <v>0.27320397693320475</v>
      </c>
      <c r="S233" s="360">
        <f t="shared" ca="1" si="108"/>
        <v>8.8762126959195875</v>
      </c>
      <c r="T233" s="357">
        <f t="shared" ca="1" si="88"/>
        <v>87.075646546971157</v>
      </c>
      <c r="U233" s="364">
        <f t="shared" ca="1" si="89"/>
        <v>0</v>
      </c>
      <c r="V233" s="359">
        <f t="shared" ca="1" si="90"/>
        <v>1.2035005822165095</v>
      </c>
      <c r="W233" s="357">
        <f t="shared" ca="1" si="91"/>
        <v>58.225998711873515</v>
      </c>
      <c r="X233" s="343"/>
      <c r="Y233" s="367" t="str">
        <f t="shared" ca="1" si="109"/>
        <v/>
      </c>
      <c r="Z233" s="368" t="str">
        <f t="shared" ca="1" si="110"/>
        <v/>
      </c>
      <c r="AA233" s="369" t="str">
        <f t="shared" ca="1" si="111"/>
        <v/>
      </c>
      <c r="AB233" s="344"/>
      <c r="AC233" s="363" t="e">
        <f t="shared" ca="1" si="112"/>
        <v>#N/A</v>
      </c>
      <c r="AD233" s="376" t="e">
        <f t="shared" ca="1" si="113"/>
        <v>#N/A</v>
      </c>
      <c r="AE233" s="377">
        <f t="shared" ca="1" si="92"/>
        <v>177.05919398106889</v>
      </c>
      <c r="AF233" s="344"/>
      <c r="AG233" s="359">
        <f t="shared" ca="1" si="114"/>
        <v>45.247769923626137</v>
      </c>
      <c r="AH233" s="357">
        <f t="shared" ca="1" si="115"/>
        <v>54.811171988290134</v>
      </c>
    </row>
    <row r="234" spans="1:34" x14ac:dyDescent="0.25">
      <c r="A234" s="402">
        <f t="shared" ca="1" si="93"/>
        <v>0.01</v>
      </c>
      <c r="B234" s="357">
        <f t="shared" ca="1" si="94"/>
        <v>2.2999999999999949</v>
      </c>
      <c r="C234" s="342"/>
      <c r="D234" s="359">
        <f t="shared" ca="1" si="95"/>
        <v>12.178530414643507</v>
      </c>
      <c r="E234" s="360">
        <f t="shared" ca="1" si="96"/>
        <v>43.438919790865356</v>
      </c>
      <c r="F234" s="357">
        <f t="shared" ca="1" si="97"/>
        <v>45.113815574141263</v>
      </c>
      <c r="G234" s="359">
        <f t="shared" ca="1" si="98"/>
        <v>32.717323604762989</v>
      </c>
      <c r="H234" s="360">
        <f t="shared" ca="1" si="99"/>
        <v>142.95381850627797</v>
      </c>
      <c r="I234" s="357">
        <f t="shared" ca="1" si="100"/>
        <v>146.64998291641442</v>
      </c>
      <c r="J234" s="359">
        <f t="shared" ca="1" si="101"/>
        <v>38.030950118637492</v>
      </c>
      <c r="K234" s="360">
        <f t="shared" ca="1" si="102"/>
        <v>178.48656022014211</v>
      </c>
      <c r="L234" s="357">
        <f t="shared" ca="1" si="87"/>
        <v>182.49330219529898</v>
      </c>
      <c r="M234" s="359">
        <f t="shared" ca="1" si="103"/>
        <v>1.3458048651578884</v>
      </c>
      <c r="N234" s="357">
        <f t="shared" ca="1" si="104"/>
        <v>77.10893882171986</v>
      </c>
      <c r="O234" s="343"/>
      <c r="P234" s="363">
        <f t="shared" ca="1" si="105"/>
        <v>6</v>
      </c>
      <c r="Q234" s="357">
        <f t="shared" ca="1" si="106"/>
        <v>542.93000000000075</v>
      </c>
      <c r="R234" s="359">
        <f t="shared" ca="1" si="107"/>
        <v>0.27247127095711693</v>
      </c>
      <c r="S234" s="360">
        <f t="shared" ca="1" si="108"/>
        <v>8.8734879832100155</v>
      </c>
      <c r="T234" s="357">
        <f t="shared" ca="1" si="88"/>
        <v>87.048917115290251</v>
      </c>
      <c r="U234" s="364">
        <f t="shared" ca="1" si="89"/>
        <v>0</v>
      </c>
      <c r="V234" s="359">
        <f t="shared" ca="1" si="90"/>
        <v>1.2033287972943707</v>
      </c>
      <c r="W234" s="357">
        <f t="shared" ca="1" si="91"/>
        <v>58.5771127204899</v>
      </c>
      <c r="X234" s="343"/>
      <c r="Y234" s="367" t="str">
        <f t="shared" ca="1" si="109"/>
        <v/>
      </c>
      <c r="Z234" s="368" t="str">
        <f t="shared" ca="1" si="110"/>
        <v/>
      </c>
      <c r="AA234" s="369" t="str">
        <f t="shared" ca="1" si="111"/>
        <v/>
      </c>
      <c r="AB234" s="344"/>
      <c r="AC234" s="363" t="e">
        <f t="shared" ca="1" si="112"/>
        <v>#N/A</v>
      </c>
      <c r="AD234" s="376" t="e">
        <f t="shared" ca="1" si="113"/>
        <v>#N/A</v>
      </c>
      <c r="AE234" s="377">
        <f t="shared" ca="1" si="92"/>
        <v>178.48656022014211</v>
      </c>
      <c r="AF234" s="344"/>
      <c r="AG234" s="359">
        <f t="shared" ca="1" si="114"/>
        <v>45.060766333862681</v>
      </c>
      <c r="AH234" s="357">
        <f t="shared" ca="1" si="115"/>
        <v>54.623841515902278</v>
      </c>
    </row>
    <row r="235" spans="1:34" x14ac:dyDescent="0.25">
      <c r="A235" s="402">
        <f t="shared" ca="1" si="93"/>
        <v>0.01</v>
      </c>
      <c r="B235" s="357">
        <f t="shared" ca="1" si="94"/>
        <v>2.3099999999999947</v>
      </c>
      <c r="C235" s="342"/>
      <c r="D235" s="359">
        <f t="shared" ca="1" si="95"/>
        <v>12.144655867660624</v>
      </c>
      <c r="E235" s="360">
        <f t="shared" ca="1" si="96"/>
        <v>43.254393399037554</v>
      </c>
      <c r="F235" s="357">
        <f t="shared" ca="1" si="97"/>
        <v>44.926998725294432</v>
      </c>
      <c r="G235" s="359">
        <f t="shared" ca="1" si="98"/>
        <v>32.838770163439598</v>
      </c>
      <c r="H235" s="360">
        <f t="shared" ca="1" si="99"/>
        <v>143.38636244026836</v>
      </c>
      <c r="I235" s="357">
        <f t="shared" ca="1" si="100"/>
        <v>147.09872113549869</v>
      </c>
      <c r="J235" s="359">
        <f t="shared" ca="1" si="101"/>
        <v>38.358730587478505</v>
      </c>
      <c r="K235" s="360">
        <f t="shared" ca="1" si="102"/>
        <v>179.91826112487485</v>
      </c>
      <c r="L235" s="357">
        <f t="shared" ca="1" si="87"/>
        <v>183.96187892735117</v>
      </c>
      <c r="M235" s="359">
        <f t="shared" ca="1" si="103"/>
        <v>1.3456560812831171</v>
      </c>
      <c r="N235" s="357">
        <f t="shared" ca="1" si="104"/>
        <v>77.100414133635866</v>
      </c>
      <c r="O235" s="343"/>
      <c r="P235" s="363">
        <f t="shared" ca="1" si="105"/>
        <v>6</v>
      </c>
      <c r="Q235" s="357">
        <f t="shared" ca="1" si="106"/>
        <v>541.47000000000071</v>
      </c>
      <c r="R235" s="359">
        <f t="shared" ca="1" si="107"/>
        <v>0.271738564981029</v>
      </c>
      <c r="S235" s="360">
        <f t="shared" ca="1" si="108"/>
        <v>8.870770597560206</v>
      </c>
      <c r="T235" s="357">
        <f t="shared" ca="1" si="88"/>
        <v>87.022259562065628</v>
      </c>
      <c r="U235" s="364">
        <f t="shared" ca="1" si="89"/>
        <v>0</v>
      </c>
      <c r="V235" s="359">
        <f t="shared" ca="1" si="90"/>
        <v>1.2031565151031798</v>
      </c>
      <c r="W235" s="357">
        <f t="shared" ca="1" si="91"/>
        <v>58.927706579445022</v>
      </c>
      <c r="X235" s="343"/>
      <c r="Y235" s="367" t="str">
        <f t="shared" ca="1" si="109"/>
        <v/>
      </c>
      <c r="Z235" s="368" t="str">
        <f t="shared" ca="1" si="110"/>
        <v/>
      </c>
      <c r="AA235" s="369" t="str">
        <f t="shared" ca="1" si="111"/>
        <v/>
      </c>
      <c r="AB235" s="344"/>
      <c r="AC235" s="363" t="e">
        <f t="shared" ca="1" si="112"/>
        <v>#N/A</v>
      </c>
      <c r="AD235" s="376" t="e">
        <f t="shared" ca="1" si="113"/>
        <v>#N/A</v>
      </c>
      <c r="AE235" s="377">
        <f t="shared" ca="1" si="92"/>
        <v>179.91826112487485</v>
      </c>
      <c r="AF235" s="344"/>
      <c r="AG235" s="359">
        <f t="shared" ca="1" si="114"/>
        <v>44.87365909484415</v>
      </c>
      <c r="AH235" s="357">
        <f t="shared" ca="1" si="115"/>
        <v>54.43640797252997</v>
      </c>
    </row>
    <row r="236" spans="1:34" x14ac:dyDescent="0.25">
      <c r="A236" s="402">
        <f t="shared" ca="1" si="93"/>
        <v>0.01</v>
      </c>
      <c r="B236" s="357">
        <f t="shared" ca="1" si="94"/>
        <v>2.3199999999999945</v>
      </c>
      <c r="C236" s="342"/>
      <c r="D236" s="359">
        <f t="shared" ca="1" si="95"/>
        <v>12.110685063938424</v>
      </c>
      <c r="E236" s="360">
        <f t="shared" ca="1" si="96"/>
        <v>43.069784149502844</v>
      </c>
      <c r="F236" s="357">
        <f t="shared" ca="1" si="97"/>
        <v>44.740082693292685</v>
      </c>
      <c r="G236" s="359">
        <f t="shared" ca="1" si="98"/>
        <v>32.959877014078984</v>
      </c>
      <c r="H236" s="360">
        <f t="shared" ca="1" si="99"/>
        <v>143.81706028176339</v>
      </c>
      <c r="I236" s="357">
        <f t="shared" ca="1" si="100"/>
        <v>147.5455872632983</v>
      </c>
      <c r="J236" s="359">
        <f t="shared" ca="1" si="101"/>
        <v>38.687723823366099</v>
      </c>
      <c r="K236" s="360">
        <f t="shared" ca="1" si="102"/>
        <v>181.35427823848499</v>
      </c>
      <c r="L236" s="357">
        <f t="shared" ca="1" si="87"/>
        <v>185.43493255057118</v>
      </c>
      <c r="M236" s="359">
        <f t="shared" ca="1" si="103"/>
        <v>1.3455076515964259</v>
      </c>
      <c r="N236" s="357">
        <f t="shared" ca="1" si="104"/>
        <v>77.091909739034008</v>
      </c>
      <c r="O236" s="343"/>
      <c r="P236" s="363">
        <f t="shared" ca="1" si="105"/>
        <v>6</v>
      </c>
      <c r="Q236" s="357">
        <f t="shared" ca="1" si="106"/>
        <v>540.01000000000079</v>
      </c>
      <c r="R236" s="359">
        <f t="shared" ca="1" si="107"/>
        <v>0.27100585900494117</v>
      </c>
      <c r="S236" s="360">
        <f t="shared" ca="1" si="108"/>
        <v>8.8680605389701572</v>
      </c>
      <c r="T236" s="357">
        <f t="shared" ca="1" si="88"/>
        <v>86.995673887297244</v>
      </c>
      <c r="U236" s="364">
        <f t="shared" ca="1" si="89"/>
        <v>0</v>
      </c>
      <c r="V236" s="359">
        <f t="shared" ca="1" si="90"/>
        <v>1.2029837380802835</v>
      </c>
      <c r="W236" s="357">
        <f t="shared" ca="1" si="91"/>
        <v>59.277765598728521</v>
      </c>
      <c r="X236" s="343"/>
      <c r="Y236" s="367" t="str">
        <f t="shared" ca="1" si="109"/>
        <v/>
      </c>
      <c r="Z236" s="368" t="str">
        <f t="shared" ca="1" si="110"/>
        <v/>
      </c>
      <c r="AA236" s="369" t="str">
        <f t="shared" ca="1" si="111"/>
        <v/>
      </c>
      <c r="AB236" s="344"/>
      <c r="AC236" s="363" t="e">
        <f t="shared" ca="1" si="112"/>
        <v>#N/A</v>
      </c>
      <c r="AD236" s="376" t="e">
        <f t="shared" ca="1" si="113"/>
        <v>#N/A</v>
      </c>
      <c r="AE236" s="377">
        <f t="shared" ca="1" si="92"/>
        <v>181.35427823848499</v>
      </c>
      <c r="AF236" s="344"/>
      <c r="AG236" s="359">
        <f t="shared" ca="1" si="114"/>
        <v>44.686450248376119</v>
      </c>
      <c r="AH236" s="357">
        <f t="shared" ca="1" si="115"/>
        <v>54.248873393056869</v>
      </c>
    </row>
    <row r="237" spans="1:34" x14ac:dyDescent="0.25">
      <c r="A237" s="402">
        <f t="shared" ca="1" si="93"/>
        <v>0.01</v>
      </c>
      <c r="B237" s="357">
        <f t="shared" ca="1" si="94"/>
        <v>2.3299999999999943</v>
      </c>
      <c r="C237" s="342"/>
      <c r="D237" s="359">
        <f t="shared" ca="1" si="95"/>
        <v>12.076618815320249</v>
      </c>
      <c r="E237" s="360">
        <f t="shared" ca="1" si="96"/>
        <v>42.885093959874219</v>
      </c>
      <c r="F237" s="357">
        <f t="shared" ca="1" si="97"/>
        <v>44.553069545854946</v>
      </c>
      <c r="G237" s="359">
        <f t="shared" ca="1" si="98"/>
        <v>33.080643202232189</v>
      </c>
      <c r="H237" s="360">
        <f t="shared" ca="1" si="99"/>
        <v>144.24591122136212</v>
      </c>
      <c r="I237" s="357">
        <f t="shared" ca="1" si="100"/>
        <v>147.99058030413445</v>
      </c>
      <c r="J237" s="359">
        <f t="shared" ca="1" si="101"/>
        <v>39.017926424447651</v>
      </c>
      <c r="K237" s="360">
        <f t="shared" ca="1" si="102"/>
        <v>182.79459309600063</v>
      </c>
      <c r="L237" s="357">
        <f t="shared" ca="1" si="87"/>
        <v>186.91244433583347</v>
      </c>
      <c r="M237" s="359">
        <f t="shared" ca="1" si="103"/>
        <v>1.3453595723167975</v>
      </c>
      <c r="N237" s="357">
        <f t="shared" ca="1" si="104"/>
        <v>77.083425421277965</v>
      </c>
      <c r="O237" s="343"/>
      <c r="P237" s="363">
        <f t="shared" ca="1" si="105"/>
        <v>6</v>
      </c>
      <c r="Q237" s="357">
        <f t="shared" ca="1" si="106"/>
        <v>538.55000000000086</v>
      </c>
      <c r="R237" s="359">
        <f t="shared" ca="1" si="107"/>
        <v>0.27027315302885335</v>
      </c>
      <c r="S237" s="360">
        <f t="shared" ca="1" si="108"/>
        <v>8.8653578074398691</v>
      </c>
      <c r="T237" s="357">
        <f t="shared" ca="1" si="88"/>
        <v>86.969160090985127</v>
      </c>
      <c r="U237" s="364">
        <f t="shared" ca="1" si="89"/>
        <v>0</v>
      </c>
      <c r="V237" s="359">
        <f t="shared" ca="1" si="90"/>
        <v>1.2028104686633239</v>
      </c>
      <c r="W237" s="357">
        <f t="shared" ca="1" si="91"/>
        <v>59.627275164344653</v>
      </c>
      <c r="X237" s="343"/>
      <c r="Y237" s="367" t="str">
        <f t="shared" ca="1" si="109"/>
        <v/>
      </c>
      <c r="Z237" s="368" t="str">
        <f t="shared" ca="1" si="110"/>
        <v/>
      </c>
      <c r="AA237" s="369" t="str">
        <f t="shared" ca="1" si="111"/>
        <v/>
      </c>
      <c r="AB237" s="344"/>
      <c r="AC237" s="363" t="e">
        <f t="shared" ca="1" si="112"/>
        <v>#N/A</v>
      </c>
      <c r="AD237" s="376" t="e">
        <f t="shared" ca="1" si="113"/>
        <v>#N/A</v>
      </c>
      <c r="AE237" s="377">
        <f t="shared" ca="1" si="92"/>
        <v>182.79459309600063</v>
      </c>
      <c r="AF237" s="344"/>
      <c r="AG237" s="359">
        <f t="shared" ca="1" si="114"/>
        <v>44.499141830644078</v>
      </c>
      <c r="AH237" s="357">
        <f t="shared" ca="1" si="115"/>
        <v>54.061239806820183</v>
      </c>
    </row>
    <row r="238" spans="1:34" x14ac:dyDescent="0.25">
      <c r="A238" s="402">
        <f t="shared" ca="1" si="93"/>
        <v>0.01</v>
      </c>
      <c r="B238" s="357">
        <f t="shared" ca="1" si="94"/>
        <v>2.3399999999999941</v>
      </c>
      <c r="C238" s="342"/>
      <c r="D238" s="359">
        <f t="shared" ca="1" si="95"/>
        <v>12.042457928585895</v>
      </c>
      <c r="E238" s="360">
        <f t="shared" ca="1" si="96"/>
        <v>42.700324742917246</v>
      </c>
      <c r="F238" s="357">
        <f t="shared" ca="1" si="97"/>
        <v>44.365961345521995</v>
      </c>
      <c r="G238" s="359">
        <f t="shared" ca="1" si="98"/>
        <v>33.201067781518049</v>
      </c>
      <c r="H238" s="360">
        <f t="shared" ca="1" si="99"/>
        <v>144.6729144687913</v>
      </c>
      <c r="I238" s="357">
        <f t="shared" ca="1" si="100"/>
        <v>148.43369928263311</v>
      </c>
      <c r="J238" s="359">
        <f t="shared" ca="1" si="101"/>
        <v>39.349334979366404</v>
      </c>
      <c r="K238" s="360">
        <f t="shared" ca="1" si="102"/>
        <v>184.2391872244514</v>
      </c>
      <c r="L238" s="357">
        <f t="shared" ca="1" si="87"/>
        <v>188.39439554414787</v>
      </c>
      <c r="M238" s="359">
        <f t="shared" ca="1" si="103"/>
        <v>1.3452118397070574</v>
      </c>
      <c r="N238" s="357">
        <f t="shared" ca="1" si="104"/>
        <v>77.074960966243395</v>
      </c>
      <c r="O238" s="343"/>
      <c r="P238" s="363">
        <f t="shared" ca="1" si="105"/>
        <v>6</v>
      </c>
      <c r="Q238" s="357">
        <f t="shared" ca="1" si="106"/>
        <v>537.09000000000083</v>
      </c>
      <c r="R238" s="359">
        <f t="shared" ca="1" si="107"/>
        <v>0.26954044705276542</v>
      </c>
      <c r="S238" s="360">
        <f t="shared" ca="1" si="108"/>
        <v>8.8626624029693417</v>
      </c>
      <c r="T238" s="357">
        <f t="shared" ca="1" si="88"/>
        <v>86.942718173129251</v>
      </c>
      <c r="U238" s="364">
        <f t="shared" ca="1" si="89"/>
        <v>0</v>
      </c>
      <c r="V238" s="359">
        <f t="shared" ca="1" si="90"/>
        <v>1.2026367092902066</v>
      </c>
      <c r="W238" s="357">
        <f t="shared" ca="1" si="91"/>
        <v>59.976220738619531</v>
      </c>
      <c r="X238" s="343"/>
      <c r="Y238" s="367" t="str">
        <f t="shared" ca="1" si="109"/>
        <v/>
      </c>
      <c r="Z238" s="368" t="str">
        <f t="shared" ca="1" si="110"/>
        <v/>
      </c>
      <c r="AA238" s="369" t="str">
        <f t="shared" ca="1" si="111"/>
        <v/>
      </c>
      <c r="AB238" s="344"/>
      <c r="AC238" s="363" t="e">
        <f t="shared" ca="1" si="112"/>
        <v>#N/A</v>
      </c>
      <c r="AD238" s="376" t="e">
        <f t="shared" ca="1" si="113"/>
        <v>#N/A</v>
      </c>
      <c r="AE238" s="377">
        <f t="shared" ca="1" si="92"/>
        <v>184.2391872244514</v>
      </c>
      <c r="AF238" s="344"/>
      <c r="AG238" s="359">
        <f t="shared" ca="1" si="114"/>
        <v>44.311735872154088</v>
      </c>
      <c r="AH238" s="357">
        <f t="shared" ca="1" si="115"/>
        <v>53.873509237550032</v>
      </c>
    </row>
    <row r="239" spans="1:34" x14ac:dyDescent="0.25">
      <c r="A239" s="402">
        <f t="shared" ca="1" si="93"/>
        <v>0.01</v>
      </c>
      <c r="B239" s="357">
        <f t="shared" ca="1" si="94"/>
        <v>2.3499999999999939</v>
      </c>
      <c r="C239" s="342"/>
      <c r="D239" s="359">
        <f t="shared" ca="1" si="95"/>
        <v>12.008203205505268</v>
      </c>
      <c r="E239" s="360">
        <f t="shared" ca="1" si="96"/>
        <v>42.515478406480852</v>
      </c>
      <c r="F239" s="357">
        <f t="shared" ca="1" si="97"/>
        <v>44.178760149608621</v>
      </c>
      <c r="G239" s="359">
        <f t="shared" ca="1" si="98"/>
        <v>33.321149813573101</v>
      </c>
      <c r="H239" s="360">
        <f t="shared" ca="1" si="99"/>
        <v>145.09806925285611</v>
      </c>
      <c r="I239" s="357">
        <f t="shared" ca="1" si="100"/>
        <v>148.87494324366747</v>
      </c>
      <c r="J239" s="359">
        <f t="shared" ca="1" si="101"/>
        <v>39.681946067341862</v>
      </c>
      <c r="K239" s="360">
        <f t="shared" ca="1" si="102"/>
        <v>185.68804214305965</v>
      </c>
      <c r="L239" s="357">
        <f t="shared" ca="1" si="87"/>
        <v>189.88076742686218</v>
      </c>
      <c r="M239" s="359">
        <f t="shared" ca="1" si="103"/>
        <v>1.345064450073127</v>
      </c>
      <c r="N239" s="357">
        <f t="shared" ca="1" si="104"/>
        <v>77.066516162275207</v>
      </c>
      <c r="O239" s="343"/>
      <c r="P239" s="363">
        <f t="shared" ca="1" si="105"/>
        <v>6</v>
      </c>
      <c r="Q239" s="357">
        <f t="shared" ca="1" si="106"/>
        <v>535.6300000000009</v>
      </c>
      <c r="R239" s="359">
        <f t="shared" ca="1" si="107"/>
        <v>0.2688077410766776</v>
      </c>
      <c r="S239" s="360">
        <f t="shared" ca="1" si="108"/>
        <v>8.859974325558575</v>
      </c>
      <c r="T239" s="357">
        <f t="shared" ca="1" si="88"/>
        <v>86.916348133729628</v>
      </c>
      <c r="U239" s="364">
        <f t="shared" ca="1" si="89"/>
        <v>0</v>
      </c>
      <c r="V239" s="359">
        <f t="shared" ca="1" si="90"/>
        <v>1.2024624623990672</v>
      </c>
      <c r="W239" s="357">
        <f t="shared" ca="1" si="91"/>
        <v>60.324587860502611</v>
      </c>
      <c r="X239" s="343"/>
      <c r="Y239" s="367" t="str">
        <f t="shared" ca="1" si="109"/>
        <v/>
      </c>
      <c r="Z239" s="368" t="str">
        <f t="shared" ca="1" si="110"/>
        <v/>
      </c>
      <c r="AA239" s="369" t="str">
        <f t="shared" ca="1" si="111"/>
        <v/>
      </c>
      <c r="AB239" s="344"/>
      <c r="AC239" s="363" t="e">
        <f t="shared" ca="1" si="112"/>
        <v>#N/A</v>
      </c>
      <c r="AD239" s="376" t="e">
        <f t="shared" ca="1" si="113"/>
        <v>#N/A</v>
      </c>
      <c r="AE239" s="377">
        <f t="shared" ca="1" si="92"/>
        <v>185.68804214305965</v>
      </c>
      <c r="AF239" s="344"/>
      <c r="AG239" s="359">
        <f t="shared" ca="1" si="114"/>
        <v>44.12423439767408</v>
      </c>
      <c r="AH239" s="357">
        <f t="shared" ca="1" si="115"/>
        <v>53.685683703309593</v>
      </c>
    </row>
    <row r="240" spans="1:34" x14ac:dyDescent="0.25">
      <c r="A240" s="402">
        <f t="shared" ca="1" si="93"/>
        <v>0.01</v>
      </c>
      <c r="B240" s="357">
        <f t="shared" ca="1" si="94"/>
        <v>2.3599999999999937</v>
      </c>
      <c r="C240" s="342"/>
      <c r="D240" s="359">
        <f t="shared" ca="1" si="95"/>
        <v>11.973855442890567</v>
      </c>
      <c r="E240" s="360">
        <f t="shared" ca="1" si="96"/>
        <v>42.330556853428689</v>
      </c>
      <c r="F240" s="357">
        <f t="shared" ca="1" si="97"/>
        <v>43.991468010156225</v>
      </c>
      <c r="G240" s="359">
        <f t="shared" ca="1" si="98"/>
        <v>33.440888368002007</v>
      </c>
      <c r="H240" s="360">
        <f t="shared" ca="1" si="99"/>
        <v>145.5213748213904</v>
      </c>
      <c r="I240" s="357">
        <f t="shared" ca="1" si="100"/>
        <v>149.31431125230014</v>
      </c>
      <c r="J240" s="359">
        <f t="shared" ca="1" si="101"/>
        <v>40.015756258249738</v>
      </c>
      <c r="K240" s="360">
        <f t="shared" ca="1" si="102"/>
        <v>187.14113936343088</v>
      </c>
      <c r="L240" s="357">
        <f t="shared" ca="1" si="87"/>
        <v>191.37154122586438</v>
      </c>
      <c r="M240" s="359">
        <f t="shared" ca="1" si="103"/>
        <v>1.3449173997632917</v>
      </c>
      <c r="N240" s="357">
        <f t="shared" ca="1" si="104"/>
        <v>77.058090800145564</v>
      </c>
      <c r="O240" s="343"/>
      <c r="P240" s="363">
        <f t="shared" ca="1" si="105"/>
        <v>6</v>
      </c>
      <c r="Q240" s="357">
        <f t="shared" ca="1" si="106"/>
        <v>534.17000000000087</v>
      </c>
      <c r="R240" s="359">
        <f t="shared" ca="1" si="107"/>
        <v>0.26807503510058972</v>
      </c>
      <c r="S240" s="360">
        <f t="shared" ca="1" si="108"/>
        <v>8.857293575207569</v>
      </c>
      <c r="T240" s="357">
        <f t="shared" ca="1" si="88"/>
        <v>86.890049972786258</v>
      </c>
      <c r="U240" s="364">
        <f t="shared" ca="1" si="89"/>
        <v>0</v>
      </c>
      <c r="V240" s="359">
        <f t="shared" ca="1" si="90"/>
        <v>1.2022877304282393</v>
      </c>
      <c r="W240" s="357">
        <f t="shared" ca="1" si="91"/>
        <v>60.672362145862913</v>
      </c>
      <c r="X240" s="343"/>
      <c r="Y240" s="367" t="str">
        <f t="shared" ca="1" si="109"/>
        <v/>
      </c>
      <c r="Z240" s="368" t="str">
        <f t="shared" ca="1" si="110"/>
        <v/>
      </c>
      <c r="AA240" s="369" t="str">
        <f t="shared" ca="1" si="111"/>
        <v/>
      </c>
      <c r="AB240" s="344"/>
      <c r="AC240" s="363" t="e">
        <f t="shared" ca="1" si="112"/>
        <v>#N/A</v>
      </c>
      <c r="AD240" s="376" t="e">
        <f t="shared" ca="1" si="113"/>
        <v>#N/A</v>
      </c>
      <c r="AE240" s="377">
        <f t="shared" ca="1" si="92"/>
        <v>187.14113936343088</v>
      </c>
      <c r="AF240" s="344"/>
      <c r="AG240" s="359">
        <f t="shared" ca="1" si="114"/>
        <v>43.93663942617566</v>
      </c>
      <c r="AH240" s="357">
        <f t="shared" ca="1" si="115"/>
        <v>53.497765216435631</v>
      </c>
    </row>
    <row r="241" spans="1:34" x14ac:dyDescent="0.25">
      <c r="A241" s="402">
        <f t="shared" ca="1" si="93"/>
        <v>0.01</v>
      </c>
      <c r="B241" s="357">
        <f t="shared" ca="1" si="94"/>
        <v>2.3699999999999934</v>
      </c>
      <c r="C241" s="342"/>
      <c r="D241" s="359">
        <f t="shared" ca="1" si="95"/>
        <v>11.939415432647188</v>
      </c>
      <c r="E241" s="360">
        <f t="shared" ca="1" si="96"/>
        <v>42.145561981571561</v>
      </c>
      <c r="F241" s="357">
        <f t="shared" ca="1" si="97"/>
        <v>43.804086973886626</v>
      </c>
      <c r="G241" s="359">
        <f t="shared" ca="1" si="98"/>
        <v>33.560282522328478</v>
      </c>
      <c r="H241" s="360">
        <f t="shared" ca="1" si="99"/>
        <v>145.9428304412061</v>
      </c>
      <c r="I241" s="357">
        <f t="shared" ca="1" si="100"/>
        <v>149.7518023937246</v>
      </c>
      <c r="J241" s="359">
        <f t="shared" ca="1" si="101"/>
        <v>40.350762112701389</v>
      </c>
      <c r="K241" s="360">
        <f t="shared" ca="1" si="102"/>
        <v>188.59846038974388</v>
      </c>
      <c r="L241" s="357">
        <f t="shared" ca="1" si="87"/>
        <v>192.8666981737843</v>
      </c>
      <c r="M241" s="359">
        <f t="shared" ca="1" si="103"/>
        <v>1.344770685167483</v>
      </c>
      <c r="N241" s="357">
        <f t="shared" ca="1" si="104"/>
        <v>77.049684673012749</v>
      </c>
      <c r="O241" s="343"/>
      <c r="P241" s="363">
        <f t="shared" ca="1" si="105"/>
        <v>6</v>
      </c>
      <c r="Q241" s="357">
        <f t="shared" ca="1" si="106"/>
        <v>532.71000000000095</v>
      </c>
      <c r="R241" s="359">
        <f t="shared" ca="1" si="107"/>
        <v>0.2673423291245019</v>
      </c>
      <c r="S241" s="360">
        <f t="shared" ca="1" si="108"/>
        <v>8.8546201519163237</v>
      </c>
      <c r="T241" s="357">
        <f t="shared" ca="1" si="88"/>
        <v>86.863823690299142</v>
      </c>
      <c r="U241" s="364">
        <f t="shared" ca="1" si="89"/>
        <v>0</v>
      </c>
      <c r="V241" s="359">
        <f t="shared" ca="1" si="90"/>
        <v>1.2021125158162191</v>
      </c>
      <c r="W241" s="357">
        <f t="shared" ca="1" si="91"/>
        <v>61.019529287779108</v>
      </c>
      <c r="X241" s="343"/>
      <c r="Y241" s="367" t="str">
        <f t="shared" ca="1" si="109"/>
        <v/>
      </c>
      <c r="Z241" s="368" t="str">
        <f t="shared" ca="1" si="110"/>
        <v/>
      </c>
      <c r="AA241" s="369" t="str">
        <f t="shared" ca="1" si="111"/>
        <v/>
      </c>
      <c r="AB241" s="344"/>
      <c r="AC241" s="363" t="e">
        <f t="shared" ca="1" si="112"/>
        <v>#N/A</v>
      </c>
      <c r="AD241" s="376" t="e">
        <f t="shared" ca="1" si="113"/>
        <v>#N/A</v>
      </c>
      <c r="AE241" s="377">
        <f t="shared" ca="1" si="92"/>
        <v>188.59846038974388</v>
      </c>
      <c r="AF241" s="344"/>
      <c r="AG241" s="359">
        <f t="shared" ca="1" si="114"/>
        <v>43.74895297077655</v>
      </c>
      <c r="AH241" s="357">
        <f t="shared" ca="1" si="115"/>
        <v>53.309755783479801</v>
      </c>
    </row>
    <row r="242" spans="1:34" x14ac:dyDescent="0.25">
      <c r="A242" s="402">
        <f t="shared" ca="1" si="93"/>
        <v>0.01</v>
      </c>
      <c r="B242" s="357">
        <f t="shared" ca="1" si="94"/>
        <v>2.3799999999999932</v>
      </c>
      <c r="C242" s="342"/>
      <c r="D242" s="359">
        <f t="shared" ca="1" si="95"/>
        <v>11.904883961823346</v>
      </c>
      <c r="E242" s="360">
        <f t="shared" ca="1" si="96"/>
        <v>41.960495683600463</v>
      </c>
      <c r="F242" s="357">
        <f t="shared" ca="1" si="97"/>
        <v>43.616619082156426</v>
      </c>
      <c r="G242" s="359">
        <f t="shared" ca="1" si="98"/>
        <v>33.679331361946709</v>
      </c>
      <c r="H242" s="360">
        <f t="shared" ca="1" si="99"/>
        <v>146.36243539804209</v>
      </c>
      <c r="I242" s="357">
        <f t="shared" ca="1" si="100"/>
        <v>150.18741577320603</v>
      </c>
      <c r="J242" s="359">
        <f t="shared" ca="1" si="101"/>
        <v>40.686960182122768</v>
      </c>
      <c r="K242" s="360">
        <f t="shared" ca="1" si="102"/>
        <v>190.05998671894011</v>
      </c>
      <c r="L242" s="357">
        <f t="shared" ca="1" si="87"/>
        <v>194.36621949419435</v>
      </c>
      <c r="M242" s="359">
        <f t="shared" ca="1" si="103"/>
        <v>1.3446243027165763</v>
      </c>
      <c r="N242" s="357">
        <f t="shared" ca="1" si="104"/>
        <v>77.041297576381012</v>
      </c>
      <c r="O242" s="343"/>
      <c r="P242" s="363">
        <f t="shared" ca="1" si="105"/>
        <v>6</v>
      </c>
      <c r="Q242" s="357">
        <f t="shared" ca="1" si="106"/>
        <v>531.25000000000102</v>
      </c>
      <c r="R242" s="359">
        <f t="shared" ca="1" si="107"/>
        <v>0.26660962314841402</v>
      </c>
      <c r="S242" s="360">
        <f t="shared" ca="1" si="108"/>
        <v>8.8519540556848391</v>
      </c>
      <c r="T242" s="357">
        <f t="shared" ca="1" si="88"/>
        <v>86.83766928626828</v>
      </c>
      <c r="U242" s="364">
        <f t="shared" ca="1" si="89"/>
        <v>0</v>
      </c>
      <c r="V242" s="359">
        <f t="shared" ca="1" si="90"/>
        <v>1.2019368210016359</v>
      </c>
      <c r="W242" s="357">
        <f t="shared" ca="1" si="91"/>
        <v>61.36607505682445</v>
      </c>
      <c r="X242" s="343"/>
      <c r="Y242" s="367" t="str">
        <f t="shared" ca="1" si="109"/>
        <v/>
      </c>
      <c r="Z242" s="368" t="str">
        <f t="shared" ca="1" si="110"/>
        <v/>
      </c>
      <c r="AA242" s="369" t="str">
        <f t="shared" ca="1" si="111"/>
        <v/>
      </c>
      <c r="AB242" s="344"/>
      <c r="AC242" s="363" t="e">
        <f t="shared" ca="1" si="112"/>
        <v>#N/A</v>
      </c>
      <c r="AD242" s="376" t="e">
        <f t="shared" ca="1" si="113"/>
        <v>#N/A</v>
      </c>
      <c r="AE242" s="377">
        <f t="shared" ca="1" si="92"/>
        <v>190.05998671894011</v>
      </c>
      <c r="AF242" s="344"/>
      <c r="AG242" s="359">
        <f t="shared" ca="1" si="114"/>
        <v>43.561177038683553</v>
      </c>
      <c r="AH242" s="357">
        <f t="shared" ca="1" si="115"/>
        <v>53.12165740515043</v>
      </c>
    </row>
    <row r="243" spans="1:34" x14ac:dyDescent="0.25">
      <c r="A243" s="402">
        <f t="shared" ca="1" si="93"/>
        <v>0.01</v>
      </c>
      <c r="B243" s="357">
        <f t="shared" ca="1" si="94"/>
        <v>2.389999999999993</v>
      </c>
      <c r="C243" s="342"/>
      <c r="D243" s="359">
        <f t="shared" ca="1" si="95"/>
        <v>11.870261812658445</v>
      </c>
      <c r="E243" s="360">
        <f t="shared" ca="1" si="96"/>
        <v>41.775359847020603</v>
      </c>
      <c r="F243" s="357">
        <f t="shared" ca="1" si="97"/>
        <v>43.429066370912452</v>
      </c>
      <c r="G243" s="359">
        <f t="shared" ca="1" si="98"/>
        <v>33.798033980073292</v>
      </c>
      <c r="H243" s="360">
        <f t="shared" ca="1" si="99"/>
        <v>146.78018899651229</v>
      </c>
      <c r="I243" s="357">
        <f t="shared" ca="1" si="100"/>
        <v>150.62115051602169</v>
      </c>
      <c r="J243" s="359">
        <f t="shared" ca="1" si="101"/>
        <v>41.024347008832869</v>
      </c>
      <c r="K243" s="360">
        <f t="shared" ca="1" si="102"/>
        <v>191.52569984091289</v>
      </c>
      <c r="L243" s="357">
        <f t="shared" ca="1" si="87"/>
        <v>195.87008640181023</v>
      </c>
      <c r="M243" s="359">
        <f t="shared" ca="1" si="103"/>
        <v>1.3444782488817035</v>
      </c>
      <c r="N243" s="357">
        <f t="shared" ca="1" si="104"/>
        <v>77.0329293080611</v>
      </c>
      <c r="O243" s="343"/>
      <c r="P243" s="363">
        <f t="shared" ca="1" si="105"/>
        <v>6</v>
      </c>
      <c r="Q243" s="357">
        <f t="shared" ca="1" si="106"/>
        <v>529.79000000000099</v>
      </c>
      <c r="R243" s="359">
        <f t="shared" ca="1" si="107"/>
        <v>0.26587691717232614</v>
      </c>
      <c r="S243" s="360">
        <f t="shared" ca="1" si="108"/>
        <v>8.8492952865131151</v>
      </c>
      <c r="T243" s="357">
        <f t="shared" ca="1" si="88"/>
        <v>86.811586760693658</v>
      </c>
      <c r="U243" s="364">
        <f t="shared" ca="1" si="89"/>
        <v>0</v>
      </c>
      <c r="V243" s="359">
        <f t="shared" ca="1" si="90"/>
        <v>1.2017606484232177</v>
      </c>
      <c r="W243" s="357">
        <f t="shared" ca="1" si="91"/>
        <v>61.711985301345869</v>
      </c>
      <c r="X243" s="343"/>
      <c r="Y243" s="367" t="str">
        <f t="shared" ca="1" si="109"/>
        <v/>
      </c>
      <c r="Z243" s="368" t="str">
        <f t="shared" ca="1" si="110"/>
        <v/>
      </c>
      <c r="AA243" s="369" t="str">
        <f t="shared" ca="1" si="111"/>
        <v/>
      </c>
      <c r="AB243" s="344"/>
      <c r="AC243" s="363" t="e">
        <f t="shared" ca="1" si="112"/>
        <v>#N/A</v>
      </c>
      <c r="AD243" s="376" t="e">
        <f t="shared" ca="1" si="113"/>
        <v>#N/A</v>
      </c>
      <c r="AE243" s="377">
        <f t="shared" ca="1" si="92"/>
        <v>191.52569984091289</v>
      </c>
      <c r="AF243" s="344"/>
      <c r="AG243" s="359">
        <f t="shared" ca="1" si="114"/>
        <v>43.373313631136092</v>
      </c>
      <c r="AH243" s="357">
        <f t="shared" ca="1" si="115"/>
        <v>52.933472076254951</v>
      </c>
    </row>
    <row r="244" spans="1:34" x14ac:dyDescent="0.25">
      <c r="A244" s="402">
        <f t="shared" ca="1" si="93"/>
        <v>0.01</v>
      </c>
      <c r="B244" s="357">
        <f t="shared" ca="1" si="94"/>
        <v>2.3999999999999928</v>
      </c>
      <c r="C244" s="342"/>
      <c r="D244" s="359">
        <f t="shared" ca="1" si="95"/>
        <v>11.83554976263018</v>
      </c>
      <c r="E244" s="360">
        <f t="shared" ca="1" si="96"/>
        <v>41.590156354086133</v>
      </c>
      <c r="F244" s="357">
        <f t="shared" ca="1" si="97"/>
        <v>43.24143087064796</v>
      </c>
      <c r="G244" s="359">
        <f t="shared" ca="1" si="98"/>
        <v>33.916389477699596</v>
      </c>
      <c r="H244" s="360">
        <f t="shared" ca="1" si="99"/>
        <v>147.19609056005316</v>
      </c>
      <c r="I244" s="357">
        <f t="shared" ca="1" si="100"/>
        <v>151.05300576740069</v>
      </c>
      <c r="J244" s="359">
        <f t="shared" ca="1" si="101"/>
        <v>41.362919126121731</v>
      </c>
      <c r="K244" s="360">
        <f t="shared" ca="1" si="102"/>
        <v>192.99558123869571</v>
      </c>
      <c r="L244" s="357">
        <f t="shared" ca="1" si="87"/>
        <v>197.37828010269033</v>
      </c>
      <c r="M244" s="359">
        <f t="shared" ca="1" si="103"/>
        <v>1.344332520173579</v>
      </c>
      <c r="N244" s="357">
        <f t="shared" ca="1" si="104"/>
        <v>77.024579668131679</v>
      </c>
      <c r="O244" s="343"/>
      <c r="P244" s="363">
        <f t="shared" ca="1" si="105"/>
        <v>6</v>
      </c>
      <c r="Q244" s="357">
        <f t="shared" ca="1" si="106"/>
        <v>528.33000000000106</v>
      </c>
      <c r="R244" s="359">
        <f t="shared" ca="1" si="107"/>
        <v>0.26514421119623832</v>
      </c>
      <c r="S244" s="360">
        <f t="shared" ca="1" si="108"/>
        <v>8.8466438444011519</v>
      </c>
      <c r="T244" s="357">
        <f t="shared" ca="1" si="88"/>
        <v>86.785576113575303</v>
      </c>
      <c r="U244" s="364">
        <f t="shared" ca="1" si="89"/>
        <v>0</v>
      </c>
      <c r="V244" s="359">
        <f t="shared" ca="1" si="90"/>
        <v>1.2015840005197589</v>
      </c>
      <c r="W244" s="357">
        <f t="shared" ca="1" si="91"/>
        <v>62.057245947737364</v>
      </c>
      <c r="X244" s="343"/>
      <c r="Y244" s="367" t="str">
        <f t="shared" ca="1" si="109"/>
        <v/>
      </c>
      <c r="Z244" s="368" t="str">
        <f t="shared" ca="1" si="110"/>
        <v/>
      </c>
      <c r="AA244" s="369" t="str">
        <f t="shared" ca="1" si="111"/>
        <v/>
      </c>
      <c r="AB244" s="344"/>
      <c r="AC244" s="363" t="e">
        <f t="shared" ca="1" si="112"/>
        <v>#N/A</v>
      </c>
      <c r="AD244" s="376" t="e">
        <f t="shared" ca="1" si="113"/>
        <v>#N/A</v>
      </c>
      <c r="AE244" s="377">
        <f t="shared" ca="1" si="92"/>
        <v>192.99558123869571</v>
      </c>
      <c r="AF244" s="344"/>
      <c r="AG244" s="359">
        <f t="shared" ca="1" si="114"/>
        <v>43.185364743350441</v>
      </c>
      <c r="AH244" s="357">
        <f t="shared" ca="1" si="115"/>
        <v>52.74520178564299</v>
      </c>
    </row>
    <row r="245" spans="1:34" x14ac:dyDescent="0.25">
      <c r="A245" s="402">
        <f t="shared" ca="1" si="93"/>
        <v>0.01</v>
      </c>
      <c r="B245" s="357">
        <f t="shared" ca="1" si="94"/>
        <v>2.4099999999999926</v>
      </c>
      <c r="C245" s="342"/>
      <c r="D245" s="359">
        <f t="shared" ca="1" si="95"/>
        <v>11.800748584500488</v>
      </c>
      <c r="E245" s="360">
        <f t="shared" ca="1" si="96"/>
        <v>41.404887081735701</v>
      </c>
      <c r="F245" s="357">
        <f t="shared" ca="1" si="97"/>
        <v>43.05371460635974</v>
      </c>
      <c r="G245" s="359">
        <f t="shared" ca="1" si="98"/>
        <v>34.034396963544602</v>
      </c>
      <c r="H245" s="360">
        <f t="shared" ca="1" si="99"/>
        <v>147.61013943087053</v>
      </c>
      <c r="I245" s="357">
        <f t="shared" ca="1" si="100"/>
        <v>151.48298069246317</v>
      </c>
      <c r="J245" s="359">
        <f t="shared" ca="1" si="101"/>
        <v>41.702673058327953</v>
      </c>
      <c r="K245" s="360">
        <f t="shared" ca="1" si="102"/>
        <v>194.46961238865032</v>
      </c>
      <c r="L245" s="357">
        <f t="shared" ca="1" si="87"/>
        <v>198.89078179443533</v>
      </c>
      <c r="M245" s="359">
        <f t="shared" ca="1" si="103"/>
        <v>1.3441871131418377</v>
      </c>
      <c r="N245" s="357">
        <f t="shared" ca="1" si="104"/>
        <v>77.016248458901373</v>
      </c>
      <c r="O245" s="343"/>
      <c r="P245" s="363">
        <f t="shared" ca="1" si="105"/>
        <v>6</v>
      </c>
      <c r="Q245" s="357">
        <f t="shared" ca="1" si="106"/>
        <v>526.87000000000103</v>
      </c>
      <c r="R245" s="359">
        <f t="shared" ca="1" si="107"/>
        <v>0.26441150522015039</v>
      </c>
      <c r="S245" s="360">
        <f t="shared" ca="1" si="108"/>
        <v>8.8439997293489512</v>
      </c>
      <c r="T245" s="357">
        <f t="shared" ca="1" si="88"/>
        <v>86.759637344913216</v>
      </c>
      <c r="U245" s="364">
        <f t="shared" ca="1" si="89"/>
        <v>0</v>
      </c>
      <c r="V245" s="359">
        <f t="shared" ca="1" si="90"/>
        <v>1.201406879730087</v>
      </c>
      <c r="W245" s="357">
        <f t="shared" ca="1" si="91"/>
        <v>62.401843000707998</v>
      </c>
      <c r="X245" s="343"/>
      <c r="Y245" s="367" t="str">
        <f t="shared" ca="1" si="109"/>
        <v/>
      </c>
      <c r="Z245" s="368" t="str">
        <f t="shared" ca="1" si="110"/>
        <v/>
      </c>
      <c r="AA245" s="369" t="str">
        <f t="shared" ca="1" si="111"/>
        <v/>
      </c>
      <c r="AB245" s="344"/>
      <c r="AC245" s="363" t="e">
        <f t="shared" ca="1" si="112"/>
        <v>#N/A</v>
      </c>
      <c r="AD245" s="376" t="e">
        <f t="shared" ca="1" si="113"/>
        <v>#N/A</v>
      </c>
      <c r="AE245" s="377">
        <f t="shared" ca="1" si="92"/>
        <v>194.46961238865032</v>
      </c>
      <c r="AF245" s="344"/>
      <c r="AG245" s="359">
        <f t="shared" ca="1" si="114"/>
        <v>42.997332364464334</v>
      </c>
      <c r="AH245" s="357">
        <f t="shared" ca="1" si="115"/>
        <v>52.556848516149913</v>
      </c>
    </row>
    <row r="246" spans="1:34" x14ac:dyDescent="0.25">
      <c r="A246" s="402">
        <f t="shared" ca="1" si="93"/>
        <v>0.01</v>
      </c>
      <c r="B246" s="357">
        <f t="shared" ca="1" si="94"/>
        <v>2.4199999999999924</v>
      </c>
      <c r="C246" s="342"/>
      <c r="D246" s="359">
        <f t="shared" ca="1" si="95"/>
        <v>11.765859046360426</v>
      </c>
      <c r="E246" s="360">
        <f t="shared" ca="1" si="96"/>
        <v>41.219553901528911</v>
      </c>
      <c r="F246" s="357">
        <f t="shared" ca="1" si="97"/>
        <v>42.865919597506235</v>
      </c>
      <c r="G246" s="359">
        <f t="shared" ca="1" si="98"/>
        <v>34.152055554008207</v>
      </c>
      <c r="H246" s="360">
        <f t="shared" ca="1" si="99"/>
        <v>148.02233496988583</v>
      </c>
      <c r="I246" s="357">
        <f t="shared" ca="1" si="100"/>
        <v>151.91107447615909</v>
      </c>
      <c r="J246" s="359">
        <f t="shared" ca="1" si="101"/>
        <v>42.043605320915717</v>
      </c>
      <c r="K246" s="360">
        <f t="shared" ca="1" si="102"/>
        <v>195.94777476065411</v>
      </c>
      <c r="L246" s="357">
        <f t="shared" ca="1" si="87"/>
        <v>200.40757266638647</v>
      </c>
      <c r="M246" s="359">
        <f t="shared" ca="1" si="103"/>
        <v>1.3440420243743909</v>
      </c>
      <c r="N246" s="357">
        <f t="shared" ca="1" si="104"/>
        <v>77.007935484871922</v>
      </c>
      <c r="O246" s="343"/>
      <c r="P246" s="363">
        <f t="shared" ca="1" si="105"/>
        <v>6</v>
      </c>
      <c r="Q246" s="357">
        <f t="shared" ca="1" si="106"/>
        <v>525.41000000000111</v>
      </c>
      <c r="R246" s="359">
        <f t="shared" ca="1" si="107"/>
        <v>0.26367879924406257</v>
      </c>
      <c r="S246" s="360">
        <f t="shared" ca="1" si="108"/>
        <v>8.8413629413565111</v>
      </c>
      <c r="T246" s="357">
        <f t="shared" ca="1" si="88"/>
        <v>86.733770454707383</v>
      </c>
      <c r="U246" s="364">
        <f t="shared" ca="1" si="89"/>
        <v>0</v>
      </c>
      <c r="V246" s="359">
        <f t="shared" ca="1" si="90"/>
        <v>1.2012292884930333</v>
      </c>
      <c r="W246" s="357">
        <f t="shared" ca="1" si="91"/>
        <v>62.74576254354448</v>
      </c>
      <c r="X246" s="343"/>
      <c r="Y246" s="367" t="str">
        <f t="shared" ca="1" si="109"/>
        <v/>
      </c>
      <c r="Z246" s="368" t="str">
        <f t="shared" ca="1" si="110"/>
        <v/>
      </c>
      <c r="AA246" s="369" t="str">
        <f t="shared" ca="1" si="111"/>
        <v/>
      </c>
      <c r="AB246" s="344"/>
      <c r="AC246" s="363" t="e">
        <f t="shared" ca="1" si="112"/>
        <v>#N/A</v>
      </c>
      <c r="AD246" s="376" t="e">
        <f t="shared" ca="1" si="113"/>
        <v>#N/A</v>
      </c>
      <c r="AE246" s="377">
        <f t="shared" ca="1" si="92"/>
        <v>195.94777476065411</v>
      </c>
      <c r="AF246" s="344"/>
      <c r="AG246" s="359">
        <f t="shared" ca="1" si="114"/>
        <v>42.809218477482432</v>
      </c>
      <c r="AH246" s="357">
        <f t="shared" ca="1" si="115"/>
        <v>52.368414244541206</v>
      </c>
    </row>
    <row r="247" spans="1:34" x14ac:dyDescent="0.25">
      <c r="A247" s="402">
        <f t="shared" ca="1" si="93"/>
        <v>0.01</v>
      </c>
      <c r="B247" s="357">
        <f t="shared" ca="1" si="94"/>
        <v>2.4299999999999922</v>
      </c>
      <c r="C247" s="342"/>
      <c r="D247" s="359">
        <f t="shared" ca="1" si="95"/>
        <v>11.730881911673704</v>
      </c>
      <c r="E247" s="360">
        <f t="shared" ca="1" si="96"/>
        <v>41.034158679583356</v>
      </c>
      <c r="F247" s="357">
        <f t="shared" ca="1" si="97"/>
        <v>42.67804785796627</v>
      </c>
      <c r="G247" s="359">
        <f t="shared" ca="1" si="98"/>
        <v>34.269364373124944</v>
      </c>
      <c r="H247" s="360">
        <f t="shared" ca="1" si="99"/>
        <v>148.43267655668166</v>
      </c>
      <c r="I247" s="357">
        <f t="shared" ca="1" si="100"/>
        <v>152.33728632320609</v>
      </c>
      <c r="J247" s="359">
        <f t="shared" ca="1" si="101"/>
        <v>42.385712420551386</v>
      </c>
      <c r="K247" s="360">
        <f t="shared" ca="1" si="102"/>
        <v>197.43004981828696</v>
      </c>
      <c r="L247" s="357">
        <f t="shared" ca="1" si="87"/>
        <v>201.9286338998235</v>
      </c>
      <c r="M247" s="359">
        <f t="shared" ca="1" si="103"/>
        <v>1.3438972504967897</v>
      </c>
      <c r="N247" s="357">
        <f t="shared" ca="1" si="104"/>
        <v>76.999640552701621</v>
      </c>
      <c r="O247" s="343"/>
      <c r="P247" s="363">
        <f t="shared" ca="1" si="105"/>
        <v>6</v>
      </c>
      <c r="Q247" s="357">
        <f t="shared" ca="1" si="106"/>
        <v>523.95000000000118</v>
      </c>
      <c r="R247" s="359">
        <f t="shared" ca="1" si="107"/>
        <v>0.26294609326797475</v>
      </c>
      <c r="S247" s="360">
        <f t="shared" ca="1" si="108"/>
        <v>8.8387334804238318</v>
      </c>
      <c r="T247" s="357">
        <f t="shared" ca="1" si="88"/>
        <v>86.707975442957789</v>
      </c>
      <c r="U247" s="364">
        <f t="shared" ca="1" si="89"/>
        <v>0</v>
      </c>
      <c r="V247" s="359">
        <f t="shared" ca="1" si="90"/>
        <v>1.2010512292473987</v>
      </c>
      <c r="W247" s="357">
        <f t="shared" ca="1" si="91"/>
        <v>63.08899073836762</v>
      </c>
      <c r="X247" s="343"/>
      <c r="Y247" s="367" t="str">
        <f t="shared" ca="1" si="109"/>
        <v/>
      </c>
      <c r="Z247" s="368" t="str">
        <f t="shared" ca="1" si="110"/>
        <v/>
      </c>
      <c r="AA247" s="369" t="str">
        <f t="shared" ca="1" si="111"/>
        <v/>
      </c>
      <c r="AB247" s="344"/>
      <c r="AC247" s="363" t="e">
        <f t="shared" ca="1" si="112"/>
        <v>#N/A</v>
      </c>
      <c r="AD247" s="376" t="e">
        <f t="shared" ca="1" si="113"/>
        <v>#N/A</v>
      </c>
      <c r="AE247" s="377">
        <f t="shared" ca="1" si="92"/>
        <v>197.43004981828696</v>
      </c>
      <c r="AF247" s="344"/>
      <c r="AG247" s="359">
        <f t="shared" ca="1" si="114"/>
        <v>42.62102505922207</v>
      </c>
      <c r="AH247" s="357">
        <f t="shared" ca="1" si="115"/>
        <v>52.179900941457191</v>
      </c>
    </row>
    <row r="248" spans="1:34" x14ac:dyDescent="0.25">
      <c r="A248" s="402">
        <f t="shared" ca="1" si="93"/>
        <v>0.01</v>
      </c>
      <c r="B248" s="357">
        <f t="shared" ca="1" si="94"/>
        <v>2.439999999999992</v>
      </c>
      <c r="C248" s="342"/>
      <c r="D248" s="359">
        <f t="shared" ca="1" si="95"/>
        <v>11.695817939319388</v>
      </c>
      <c r="E248" s="360">
        <f t="shared" ca="1" si="96"/>
        <v>40.84870327651263</v>
      </c>
      <c r="F248" s="357">
        <f t="shared" ca="1" si="97"/>
        <v>42.490101395999034</v>
      </c>
      <c r="G248" s="359">
        <f t="shared" ca="1" si="98"/>
        <v>34.386322552518138</v>
      </c>
      <c r="H248" s="360">
        <f t="shared" ca="1" si="99"/>
        <v>148.84116358944678</v>
      </c>
      <c r="I248" s="357">
        <f t="shared" ca="1" si="100"/>
        <v>152.76161545802753</v>
      </c>
      <c r="J248" s="359">
        <f t="shared" ca="1" si="101"/>
        <v>42.728990855179603</v>
      </c>
      <c r="K248" s="360">
        <f t="shared" ca="1" si="102"/>
        <v>198.91641901901761</v>
      </c>
      <c r="L248" s="357">
        <f t="shared" ca="1" si="87"/>
        <v>203.45394666816227</v>
      </c>
      <c r="M248" s="359">
        <f t="shared" ca="1" si="103"/>
        <v>1.3437527881716047</v>
      </c>
      <c r="N248" s="357">
        <f t="shared" ca="1" si="104"/>
        <v>76.991363471169876</v>
      </c>
      <c r="O248" s="343"/>
      <c r="P248" s="363">
        <f t="shared" ca="1" si="105"/>
        <v>6</v>
      </c>
      <c r="Q248" s="357">
        <f t="shared" ca="1" si="106"/>
        <v>522.49000000000115</v>
      </c>
      <c r="R248" s="359">
        <f t="shared" ca="1" si="107"/>
        <v>0.26221338729188687</v>
      </c>
      <c r="S248" s="360">
        <f t="shared" ca="1" si="108"/>
        <v>8.8361113465509131</v>
      </c>
      <c r="T248" s="357">
        <f t="shared" ca="1" si="88"/>
        <v>86.682252309664463</v>
      </c>
      <c r="U248" s="364">
        <f t="shared" ca="1" si="89"/>
        <v>0</v>
      </c>
      <c r="V248" s="359">
        <f t="shared" ca="1" si="90"/>
        <v>1.2008727044319212</v>
      </c>
      <c r="W248" s="357">
        <f t="shared" ca="1" si="91"/>
        <v>63.431513826383984</v>
      </c>
      <c r="X248" s="343"/>
      <c r="Y248" s="367" t="str">
        <f t="shared" ca="1" si="109"/>
        <v/>
      </c>
      <c r="Z248" s="368" t="str">
        <f t="shared" ca="1" si="110"/>
        <v/>
      </c>
      <c r="AA248" s="369" t="str">
        <f t="shared" ca="1" si="111"/>
        <v/>
      </c>
      <c r="AB248" s="344"/>
      <c r="AC248" s="363" t="e">
        <f t="shared" ca="1" si="112"/>
        <v>#N/A</v>
      </c>
      <c r="AD248" s="376" t="e">
        <f t="shared" ca="1" si="113"/>
        <v>#N/A</v>
      </c>
      <c r="AE248" s="377">
        <f t="shared" ca="1" si="92"/>
        <v>198.91641901901761</v>
      </c>
      <c r="AF248" s="344"/>
      <c r="AG248" s="359">
        <f t="shared" ca="1" si="114"/>
        <v>42.432754080259798</v>
      </c>
      <c r="AH248" s="357">
        <f t="shared" ca="1" si="115"/>
        <v>51.991310571358525</v>
      </c>
    </row>
    <row r="249" spans="1:34" x14ac:dyDescent="0.25">
      <c r="A249" s="402">
        <f t="shared" ca="1" si="93"/>
        <v>0.01</v>
      </c>
      <c r="B249" s="357">
        <f t="shared" ca="1" si="94"/>
        <v>2.4499999999999917</v>
      </c>
      <c r="C249" s="342"/>
      <c r="D249" s="359">
        <f t="shared" ca="1" si="95"/>
        <v>11.660667883633376</v>
      </c>
      <c r="E249" s="360">
        <f t="shared" ca="1" si="96"/>
        <v>40.663189547365114</v>
      </c>
      <c r="F249" s="357">
        <f t="shared" ca="1" si="97"/>
        <v>42.302082214204802</v>
      </c>
      <c r="G249" s="359">
        <f t="shared" ca="1" si="98"/>
        <v>34.502929231354472</v>
      </c>
      <c r="H249" s="360">
        <f t="shared" ca="1" si="99"/>
        <v>149.24779548492043</v>
      </c>
      <c r="I249" s="357">
        <f t="shared" ca="1" si="100"/>
        <v>153.18406112468912</v>
      </c>
      <c r="J249" s="359">
        <f t="shared" ca="1" si="101"/>
        <v>43.073437114098965</v>
      </c>
      <c r="K249" s="360">
        <f t="shared" ca="1" si="102"/>
        <v>200.40686381438945</v>
      </c>
      <c r="L249" s="357">
        <f t="shared" ca="1" si="87"/>
        <v>204.9834921371511</v>
      </c>
      <c r="M249" s="359">
        <f t="shared" ca="1" si="103"/>
        <v>1.3436086340978171</v>
      </c>
      <c r="N249" s="357">
        <f t="shared" ca="1" si="104"/>
        <v>76.983104051142234</v>
      </c>
      <c r="O249" s="343"/>
      <c r="P249" s="363">
        <f t="shared" ca="1" si="105"/>
        <v>6</v>
      </c>
      <c r="Q249" s="357">
        <f t="shared" ca="1" si="106"/>
        <v>521.03000000000122</v>
      </c>
      <c r="R249" s="359">
        <f t="shared" ca="1" si="107"/>
        <v>0.26148068131579899</v>
      </c>
      <c r="S249" s="360">
        <f t="shared" ca="1" si="108"/>
        <v>8.8334965397377552</v>
      </c>
      <c r="T249" s="357">
        <f t="shared" ca="1" si="88"/>
        <v>86.656601054827377</v>
      </c>
      <c r="U249" s="364">
        <f t="shared" ca="1" si="89"/>
        <v>0</v>
      </c>
      <c r="V249" s="359">
        <f t="shared" ca="1" si="90"/>
        <v>1.200693716485246</v>
      </c>
      <c r="W249" s="357">
        <f t="shared" ca="1" si="91"/>
        <v>63.773318128131315</v>
      </c>
      <c r="X249" s="343"/>
      <c r="Y249" s="367" t="str">
        <f t="shared" ca="1" si="109"/>
        <v/>
      </c>
      <c r="Z249" s="368" t="str">
        <f t="shared" ca="1" si="110"/>
        <v/>
      </c>
      <c r="AA249" s="369" t="str">
        <f t="shared" ca="1" si="111"/>
        <v/>
      </c>
      <c r="AB249" s="344"/>
      <c r="AC249" s="363" t="e">
        <f t="shared" ca="1" si="112"/>
        <v>#N/A</v>
      </c>
      <c r="AD249" s="376" t="e">
        <f t="shared" ca="1" si="113"/>
        <v>#N/A</v>
      </c>
      <c r="AE249" s="377">
        <f t="shared" ca="1" si="92"/>
        <v>200.40686381438945</v>
      </c>
      <c r="AF249" s="344"/>
      <c r="AG249" s="359">
        <f t="shared" ca="1" si="114"/>
        <v>42.244407504878495</v>
      </c>
      <c r="AH249" s="357">
        <f t="shared" ca="1" si="115"/>
        <v>51.802645092472318</v>
      </c>
    </row>
    <row r="250" spans="1:34" x14ac:dyDescent="0.25">
      <c r="A250" s="402">
        <f t="shared" ca="1" si="93"/>
        <v>0.01</v>
      </c>
      <c r="B250" s="357">
        <f t="shared" ca="1" si="94"/>
        <v>2.4599999999999915</v>
      </c>
      <c r="C250" s="342"/>
      <c r="D250" s="359">
        <f t="shared" ca="1" si="95"/>
        <v>11.625432494448891</v>
      </c>
      <c r="E250" s="360">
        <f t="shared" ca="1" si="96"/>
        <v>40.477619341563432</v>
      </c>
      <c r="F250" s="357">
        <f t="shared" ca="1" si="97"/>
        <v>42.113992309486619</v>
      </c>
      <c r="G250" s="359">
        <f t="shared" ca="1" si="98"/>
        <v>34.619183556298964</v>
      </c>
      <c r="H250" s="360">
        <f t="shared" ca="1" si="99"/>
        <v>149.65257167833607</v>
      </c>
      <c r="I250" s="357">
        <f t="shared" ca="1" si="100"/>
        <v>153.60462258683569</v>
      </c>
      <c r="J250" s="359">
        <f t="shared" ca="1" si="101"/>
        <v>43.419047678037231</v>
      </c>
      <c r="K250" s="360">
        <f t="shared" ca="1" si="102"/>
        <v>201.90136565020575</v>
      </c>
      <c r="L250" s="357">
        <f t="shared" ca="1" si="87"/>
        <v>206.51725146506709</v>
      </c>
      <c r="M250" s="359">
        <f t="shared" ca="1" si="103"/>
        <v>1.3434647850102217</v>
      </c>
      <c r="N250" s="357">
        <f t="shared" ca="1" si="104"/>
        <v>76.974862105536204</v>
      </c>
      <c r="O250" s="343"/>
      <c r="P250" s="363">
        <f t="shared" ca="1" si="105"/>
        <v>6</v>
      </c>
      <c r="Q250" s="357">
        <f t="shared" ca="1" si="106"/>
        <v>519.57000000000119</v>
      </c>
      <c r="R250" s="359">
        <f t="shared" ca="1" si="107"/>
        <v>0.26074797533971111</v>
      </c>
      <c r="S250" s="360">
        <f t="shared" ca="1" si="108"/>
        <v>8.8308890599843579</v>
      </c>
      <c r="T250" s="357">
        <f t="shared" ca="1" si="88"/>
        <v>86.631021678446558</v>
      </c>
      <c r="U250" s="364">
        <f t="shared" ca="1" si="89"/>
        <v>0</v>
      </c>
      <c r="V250" s="359">
        <f t="shared" ca="1" si="90"/>
        <v>1.2005142678458927</v>
      </c>
      <c r="W250" s="357">
        <f t="shared" ca="1" si="91"/>
        <v>64.11439004371897</v>
      </c>
      <c r="X250" s="343"/>
      <c r="Y250" s="367" t="str">
        <f t="shared" ca="1" si="109"/>
        <v/>
      </c>
      <c r="Z250" s="368" t="str">
        <f t="shared" ca="1" si="110"/>
        <v/>
      </c>
      <c r="AA250" s="369" t="str">
        <f t="shared" ca="1" si="111"/>
        <v/>
      </c>
      <c r="AB250" s="344"/>
      <c r="AC250" s="363" t="e">
        <f t="shared" ca="1" si="112"/>
        <v>#N/A</v>
      </c>
      <c r="AD250" s="376" t="e">
        <f t="shared" ca="1" si="113"/>
        <v>#N/A</v>
      </c>
      <c r="AE250" s="377">
        <f t="shared" ca="1" si="92"/>
        <v>201.90136565020575</v>
      </c>
      <c r="AF250" s="344"/>
      <c r="AG250" s="359">
        <f t="shared" ca="1" si="114"/>
        <v>42.055987291014922</v>
      </c>
      <c r="AH250" s="357">
        <f t="shared" ca="1" si="115"/>
        <v>51.613906456738704</v>
      </c>
    </row>
    <row r="251" spans="1:34" x14ac:dyDescent="0.25">
      <c r="A251" s="402">
        <f t="shared" ca="1" si="93"/>
        <v>0.01</v>
      </c>
      <c r="B251" s="357">
        <f t="shared" ca="1" si="94"/>
        <v>2.4699999999999913</v>
      </c>
      <c r="C251" s="342"/>
      <c r="D251" s="359">
        <f t="shared" ca="1" si="95"/>
        <v>11.590112517135955</v>
      </c>
      <c r="E251" s="360">
        <f t="shared" ca="1" si="96"/>
        <v>40.291994502844858</v>
      </c>
      <c r="F251" s="357">
        <f t="shared" ca="1" si="97"/>
        <v>41.92583367301301</v>
      </c>
      <c r="G251" s="359">
        <f t="shared" ca="1" si="98"/>
        <v>34.735084681470326</v>
      </c>
      <c r="H251" s="360">
        <f t="shared" ca="1" si="99"/>
        <v>150.05549162336453</v>
      </c>
      <c r="I251" s="357">
        <f t="shared" ca="1" si="100"/>
        <v>154.02329912762724</v>
      </c>
      <c r="J251" s="359">
        <f t="shared" ca="1" si="101"/>
        <v>43.765819019226079</v>
      </c>
      <c r="K251" s="360">
        <f t="shared" ca="1" si="102"/>
        <v>203.39990596671424</v>
      </c>
      <c r="L251" s="357">
        <f t="shared" ca="1" si="87"/>
        <v>208.05520580291147</v>
      </c>
      <c r="M251" s="359">
        <f t="shared" ca="1" si="103"/>
        <v>1.3433212376788417</v>
      </c>
      <c r="N251" s="357">
        <f t="shared" ca="1" si="104"/>
        <v>76.966637449287774</v>
      </c>
      <c r="O251" s="343"/>
      <c r="P251" s="363">
        <f t="shared" ca="1" si="105"/>
        <v>6</v>
      </c>
      <c r="Q251" s="357">
        <f t="shared" ca="1" si="106"/>
        <v>518.11000000000126</v>
      </c>
      <c r="R251" s="359">
        <f t="shared" ca="1" si="107"/>
        <v>0.26001526936362329</v>
      </c>
      <c r="S251" s="360">
        <f t="shared" ca="1" si="108"/>
        <v>8.8282889072907214</v>
      </c>
      <c r="T251" s="357">
        <f t="shared" ca="1" si="88"/>
        <v>86.605514180521979</v>
      </c>
      <c r="U251" s="364">
        <f t="shared" ca="1" si="89"/>
        <v>0</v>
      </c>
      <c r="V251" s="359">
        <f t="shared" ca="1" si="90"/>
        <v>1.2003343609522239</v>
      </c>
      <c r="W251" s="357">
        <f t="shared" ca="1" si="91"/>
        <v>64.454716053062626</v>
      </c>
      <c r="X251" s="343"/>
      <c r="Y251" s="367" t="str">
        <f t="shared" ca="1" si="109"/>
        <v/>
      </c>
      <c r="Z251" s="368" t="str">
        <f t="shared" ca="1" si="110"/>
        <v/>
      </c>
      <c r="AA251" s="369" t="str">
        <f t="shared" ca="1" si="111"/>
        <v/>
      </c>
      <c r="AB251" s="344"/>
      <c r="AC251" s="363" t="e">
        <f t="shared" ca="1" si="112"/>
        <v>#N/A</v>
      </c>
      <c r="AD251" s="376" t="e">
        <f t="shared" ca="1" si="113"/>
        <v>#N/A</v>
      </c>
      <c r="AE251" s="377">
        <f t="shared" ca="1" si="92"/>
        <v>203.39990596671424</v>
      </c>
      <c r="AF251" s="344"/>
      <c r="AG251" s="359">
        <f t="shared" ca="1" si="114"/>
        <v>41.867495390208113</v>
      </c>
      <c r="AH251" s="357">
        <f t="shared" ca="1" si="115"/>
        <v>51.425096609758235</v>
      </c>
    </row>
    <row r="252" spans="1:34" x14ac:dyDescent="0.25">
      <c r="A252" s="402">
        <f t="shared" ca="1" si="93"/>
        <v>0.01</v>
      </c>
      <c r="B252" s="357">
        <f t="shared" ca="1" si="94"/>
        <v>2.4799999999999911</v>
      </c>
      <c r="C252" s="342"/>
      <c r="D252" s="359">
        <f t="shared" ca="1" si="95"/>
        <v>11.554708692639913</v>
      </c>
      <c r="E252" s="360">
        <f t="shared" ca="1" si="96"/>
        <v>40.106316869202239</v>
      </c>
      <c r="F252" s="357">
        <f t="shared" ca="1" si="97"/>
        <v>41.737608290181463</v>
      </c>
      <c r="G252" s="359">
        <f t="shared" ca="1" si="98"/>
        <v>34.850631768396724</v>
      </c>
      <c r="H252" s="360">
        <f t="shared" ca="1" si="99"/>
        <v>150.45655479205655</v>
      </c>
      <c r="I252" s="357">
        <f t="shared" ca="1" si="100"/>
        <v>154.44009004967427</v>
      </c>
      <c r="J252" s="359">
        <f t="shared" ca="1" si="101"/>
        <v>44.113747601475417</v>
      </c>
      <c r="K252" s="360">
        <f t="shared" ca="1" si="102"/>
        <v>204.90246619879136</v>
      </c>
      <c r="L252" s="357">
        <f t="shared" ca="1" si="87"/>
        <v>209.59733629460447</v>
      </c>
      <c r="M252" s="359">
        <f t="shared" ca="1" si="103"/>
        <v>1.3431779889083548</v>
      </c>
      <c r="N252" s="357">
        <f t="shared" ca="1" si="104"/>
        <v>76.958429899318432</v>
      </c>
      <c r="O252" s="343"/>
      <c r="P252" s="363">
        <f t="shared" ca="1" si="105"/>
        <v>6</v>
      </c>
      <c r="Q252" s="357">
        <f t="shared" ca="1" si="106"/>
        <v>516.65000000000123</v>
      </c>
      <c r="R252" s="359">
        <f t="shared" ca="1" si="107"/>
        <v>0.25928256338753541</v>
      </c>
      <c r="S252" s="360">
        <f t="shared" ca="1" si="108"/>
        <v>8.8256960816568455</v>
      </c>
      <c r="T252" s="357">
        <f t="shared" ca="1" si="88"/>
        <v>86.580078561053654</v>
      </c>
      <c r="U252" s="364">
        <f t="shared" ca="1" si="89"/>
        <v>0</v>
      </c>
      <c r="V252" s="359">
        <f t="shared" ca="1" si="90"/>
        <v>1.2001539982424136</v>
      </c>
      <c r="W252" s="357">
        <f t="shared" ca="1" si="91"/>
        <v>64.794282716113401</v>
      </c>
      <c r="X252" s="343"/>
      <c r="Y252" s="367" t="str">
        <f t="shared" ca="1" si="109"/>
        <v/>
      </c>
      <c r="Z252" s="368" t="str">
        <f t="shared" ca="1" si="110"/>
        <v/>
      </c>
      <c r="AA252" s="369" t="str">
        <f t="shared" ca="1" si="111"/>
        <v/>
      </c>
      <c r="AB252" s="344"/>
      <c r="AC252" s="363" t="e">
        <f t="shared" ca="1" si="112"/>
        <v>#N/A</v>
      </c>
      <c r="AD252" s="376" t="e">
        <f t="shared" ca="1" si="113"/>
        <v>#N/A</v>
      </c>
      <c r="AE252" s="377">
        <f t="shared" ca="1" si="92"/>
        <v>204.90246619879136</v>
      </c>
      <c r="AF252" s="344"/>
      <c r="AG252" s="359">
        <f t="shared" ca="1" si="114"/>
        <v>41.678933747548037</v>
      </c>
      <c r="AH252" s="357">
        <f t="shared" ca="1" si="115"/>
        <v>51.23621749073962</v>
      </c>
    </row>
    <row r="253" spans="1:34" x14ac:dyDescent="0.25">
      <c r="A253" s="402">
        <f t="shared" ca="1" si="93"/>
        <v>0.01</v>
      </c>
      <c r="B253" s="357">
        <f t="shared" ca="1" si="94"/>
        <v>2.4899999999999909</v>
      </c>
      <c r="C253" s="342"/>
      <c r="D253" s="359">
        <f t="shared" ca="1" si="95"/>
        <v>11.519221757519011</v>
      </c>
      <c r="E253" s="360">
        <f t="shared" ca="1" si="96"/>
        <v>39.920588272826066</v>
      </c>
      <c r="F253" s="357">
        <f t="shared" ca="1" si="97"/>
        <v>41.549318140583217</v>
      </c>
      <c r="G253" s="359">
        <f t="shared" ca="1" si="98"/>
        <v>34.965823985971916</v>
      </c>
      <c r="H253" s="360">
        <f t="shared" ca="1" si="99"/>
        <v>150.85576067478482</v>
      </c>
      <c r="I253" s="357">
        <f t="shared" ca="1" si="100"/>
        <v>154.85499467497303</v>
      </c>
      <c r="J253" s="359">
        <f t="shared" ca="1" si="101"/>
        <v>44.462829880247263</v>
      </c>
      <c r="K253" s="360">
        <f t="shared" ca="1" si="102"/>
        <v>206.40902777612555</v>
      </c>
      <c r="L253" s="357">
        <f t="shared" ca="1" si="87"/>
        <v>211.14362407717923</v>
      </c>
      <c r="M253" s="359">
        <f t="shared" ca="1" si="103"/>
        <v>1.3430350355375311</v>
      </c>
      <c r="N253" s="357">
        <f t="shared" ca="1" si="104"/>
        <v>76.950239274503062</v>
      </c>
      <c r="O253" s="343"/>
      <c r="P253" s="363">
        <f t="shared" ca="1" si="105"/>
        <v>6</v>
      </c>
      <c r="Q253" s="357">
        <f t="shared" ca="1" si="106"/>
        <v>515.19000000000131</v>
      </c>
      <c r="R253" s="359">
        <f t="shared" ca="1" si="107"/>
        <v>0.25854985741144754</v>
      </c>
      <c r="S253" s="360">
        <f t="shared" ca="1" si="108"/>
        <v>8.8231105830827303</v>
      </c>
      <c r="T253" s="357">
        <f t="shared" ca="1" si="88"/>
        <v>86.554714820041582</v>
      </c>
      <c r="U253" s="364">
        <f t="shared" ca="1" si="89"/>
        <v>0</v>
      </c>
      <c r="V253" s="359">
        <f t="shared" ca="1" si="90"/>
        <v>1.1999731821544168</v>
      </c>
      <c r="W253" s="357">
        <f t="shared" ca="1" si="91"/>
        <v>65.133076673081831</v>
      </c>
      <c r="X253" s="343"/>
      <c r="Y253" s="367" t="str">
        <f t="shared" ca="1" si="109"/>
        <v/>
      </c>
      <c r="Z253" s="368" t="str">
        <f t="shared" ca="1" si="110"/>
        <v/>
      </c>
      <c r="AA253" s="369" t="str">
        <f t="shared" ca="1" si="111"/>
        <v/>
      </c>
      <c r="AB253" s="344"/>
      <c r="AC253" s="363" t="e">
        <f t="shared" ca="1" si="112"/>
        <v>#N/A</v>
      </c>
      <c r="AD253" s="376" t="e">
        <f t="shared" ca="1" si="113"/>
        <v>#N/A</v>
      </c>
      <c r="AE253" s="377">
        <f t="shared" ca="1" si="92"/>
        <v>206.40902777612555</v>
      </c>
      <c r="AF253" s="344"/>
      <c r="AG253" s="359">
        <f t="shared" ca="1" si="114"/>
        <v>41.490304301625201</v>
      </c>
      <c r="AH253" s="357">
        <f t="shared" ca="1" si="115"/>
        <v>51.047271032448393</v>
      </c>
    </row>
    <row r="254" spans="1:34" x14ac:dyDescent="0.25">
      <c r="A254" s="402">
        <f t="shared" ca="1" si="93"/>
        <v>0.01</v>
      </c>
      <c r="B254" s="357">
        <f t="shared" ca="1" si="94"/>
        <v>2.4999999999999907</v>
      </c>
      <c r="C254" s="342"/>
      <c r="D254" s="359">
        <f t="shared" ca="1" si="95"/>
        <v>11.483652443981006</v>
      </c>
      <c r="E254" s="360">
        <f t="shared" ca="1" si="96"/>
        <v>39.734810540046901</v>
      </c>
      <c r="F254" s="357">
        <f t="shared" ca="1" si="97"/>
        <v>41.360965197968639</v>
      </c>
      <c r="G254" s="359">
        <f t="shared" ca="1" si="98"/>
        <v>35.080660510411725</v>
      </c>
      <c r="H254" s="360">
        <f t="shared" ca="1" si="99"/>
        <v>151.2531087801853</v>
      </c>
      <c r="I254" s="357">
        <f t="shared" ca="1" si="100"/>
        <v>155.2680123448398</v>
      </c>
      <c r="J254" s="359">
        <f t="shared" ca="1" si="101"/>
        <v>44.813062302729179</v>
      </c>
      <c r="K254" s="360">
        <f t="shared" ca="1" si="102"/>
        <v>207.9195721234004</v>
      </c>
      <c r="L254" s="357">
        <f t="shared" ca="1" si="87"/>
        <v>212.69405028097563</v>
      </c>
      <c r="M254" s="359">
        <f t="shared" ca="1" si="103"/>
        <v>1.3428923744386818</v>
      </c>
      <c r="N254" s="357">
        <f t="shared" ca="1" si="104"/>
        <v>76.942065395638295</v>
      </c>
      <c r="O254" s="343"/>
      <c r="P254" s="363">
        <f t="shared" ca="1" si="105"/>
        <v>6</v>
      </c>
      <c r="Q254" s="357">
        <f t="shared" ca="1" si="106"/>
        <v>513.73000000000138</v>
      </c>
      <c r="R254" s="359">
        <f t="shared" ca="1" si="107"/>
        <v>0.25781715143535971</v>
      </c>
      <c r="S254" s="360">
        <f t="shared" ca="1" si="108"/>
        <v>8.8205324115683759</v>
      </c>
      <c r="T254" s="357">
        <f t="shared" ca="1" si="88"/>
        <v>86.529422957485778</v>
      </c>
      <c r="U254" s="364">
        <f t="shared" ca="1" si="89"/>
        <v>0</v>
      </c>
      <c r="V254" s="359">
        <f t="shared" ca="1" si="90"/>
        <v>1.1997919151259371</v>
      </c>
      <c r="W254" s="357">
        <f t="shared" ca="1" si="91"/>
        <v>65.471084644656017</v>
      </c>
      <c r="X254" s="343"/>
      <c r="Y254" s="367" t="str">
        <f t="shared" ca="1" si="109"/>
        <v/>
      </c>
      <c r="Z254" s="368" t="str">
        <f t="shared" ca="1" si="110"/>
        <v/>
      </c>
      <c r="AA254" s="369" t="str">
        <f t="shared" ca="1" si="111"/>
        <v/>
      </c>
      <c r="AB254" s="344"/>
      <c r="AC254" s="363" t="e">
        <f t="shared" ca="1" si="112"/>
        <v>#N/A</v>
      </c>
      <c r="AD254" s="376" t="e">
        <f t="shared" ca="1" si="113"/>
        <v>#N/A</v>
      </c>
      <c r="AE254" s="377">
        <f t="shared" ca="1" si="92"/>
        <v>207.9195721234004</v>
      </c>
      <c r="AF254" s="344"/>
      <c r="AG254" s="359">
        <f t="shared" ca="1" si="114"/>
        <v>41.301608984480524</v>
      </c>
      <c r="AH254" s="357">
        <f t="shared" ca="1" si="115"/>
        <v>50.858259161155857</v>
      </c>
    </row>
    <row r="255" spans="1:34" x14ac:dyDescent="0.25">
      <c r="A255" s="402">
        <f t="shared" ca="1" si="93"/>
        <v>0.01</v>
      </c>
      <c r="B255" s="357">
        <f t="shared" ca="1" si="94"/>
        <v>2.5099999999999905</v>
      </c>
      <c r="C255" s="342"/>
      <c r="D255" s="359">
        <f t="shared" ca="1" si="95"/>
        <v>11.440536416433076</v>
      </c>
      <c r="E255" s="360">
        <f t="shared" ca="1" si="96"/>
        <v>39.516799265505433</v>
      </c>
      <c r="F255" s="357">
        <f t="shared" ca="1" si="97"/>
        <v>41.139558793039846</v>
      </c>
      <c r="G255" s="359">
        <f t="shared" ca="1" si="98"/>
        <v>35.195065874576059</v>
      </c>
      <c r="H255" s="360">
        <f t="shared" ca="1" si="99"/>
        <v>151.64827677284035</v>
      </c>
      <c r="I255" s="357">
        <f t="shared" ca="1" si="100"/>
        <v>155.6788120139916</v>
      </c>
      <c r="J255" s="359">
        <f t="shared" ca="1" si="101"/>
        <v>45.164440934654117</v>
      </c>
      <c r="K255" s="360">
        <f t="shared" ca="1" si="102"/>
        <v>209.43407905116553</v>
      </c>
      <c r="L255" s="357">
        <f t="shared" ca="1" si="87"/>
        <v>214.2485943780022</v>
      </c>
      <c r="M255" s="359">
        <f t="shared" ca="1" si="103"/>
        <v>1.3427500022149543</v>
      </c>
      <c r="N255" s="357">
        <f t="shared" ca="1" si="104"/>
        <v>76.93390806809883</v>
      </c>
      <c r="O255" s="343"/>
      <c r="P255" s="363">
        <f t="shared" ca="1" si="105"/>
        <v>7</v>
      </c>
      <c r="Q255" s="357">
        <f t="shared" ca="1" si="106"/>
        <v>511.97872340425727</v>
      </c>
      <c r="R255" s="359">
        <f t="shared" ca="1" si="107"/>
        <v>0.25693826730694563</v>
      </c>
      <c r="S255" s="360">
        <f t="shared" ca="1" si="108"/>
        <v>8.8179630288953064</v>
      </c>
      <c r="T255" s="357">
        <f t="shared" ca="1" si="88"/>
        <v>86.504217313462959</v>
      </c>
      <c r="U255" s="364">
        <f t="shared" ca="1" si="89"/>
        <v>0</v>
      </c>
      <c r="V255" s="359">
        <f t="shared" ca="1" si="90"/>
        <v>1.1996101997874722</v>
      </c>
      <c r="W255" s="357">
        <f t="shared" ca="1" si="91"/>
        <v>65.808014106448937</v>
      </c>
      <c r="X255" s="343"/>
      <c r="Y255" s="367" t="str">
        <f t="shared" ca="1" si="109"/>
        <v/>
      </c>
      <c r="Z255" s="368" t="str">
        <f t="shared" ca="1" si="110"/>
        <v/>
      </c>
      <c r="AA255" s="369" t="str">
        <f t="shared" ca="1" si="111"/>
        <v/>
      </c>
      <c r="AB255" s="344"/>
      <c r="AC255" s="363" t="e">
        <f t="shared" ca="1" si="112"/>
        <v>#N/A</v>
      </c>
      <c r="AD255" s="376" t="e">
        <f t="shared" ca="1" si="113"/>
        <v>#N/A</v>
      </c>
      <c r="AE255" s="377">
        <f t="shared" ca="1" si="92"/>
        <v>209.43407905116553</v>
      </c>
      <c r="AF255" s="344"/>
      <c r="AG255" s="359">
        <f t="shared" ca="1" si="114"/>
        <v>41.079809135871315</v>
      </c>
      <c r="AH255" s="357">
        <f t="shared" ca="1" si="115"/>
        <v>50.636143210904194</v>
      </c>
    </row>
    <row r="256" spans="1:34" x14ac:dyDescent="0.25">
      <c r="A256" s="402">
        <f t="shared" ca="1" si="93"/>
        <v>0.01</v>
      </c>
      <c r="B256" s="357">
        <f t="shared" ca="1" si="94"/>
        <v>2.5199999999999902</v>
      </c>
      <c r="C256" s="342"/>
      <c r="D256" s="359">
        <f t="shared" ca="1" si="95"/>
        <v>11.389859453238481</v>
      </c>
      <c r="E256" s="360">
        <f t="shared" ca="1" si="96"/>
        <v>39.266554222794639</v>
      </c>
      <c r="F256" s="357">
        <f t="shared" ca="1" si="97"/>
        <v>40.885097271453297</v>
      </c>
      <c r="G256" s="359">
        <f t="shared" ca="1" si="98"/>
        <v>35.308964469108446</v>
      </c>
      <c r="H256" s="360">
        <f t="shared" ca="1" si="99"/>
        <v>152.04094231506829</v>
      </c>
      <c r="I256" s="357">
        <f t="shared" ca="1" si="100"/>
        <v>156.08706260268556</v>
      </c>
      <c r="J256" s="359">
        <f t="shared" ca="1" si="101"/>
        <v>45.51696108637254</v>
      </c>
      <c r="K256" s="360">
        <f t="shared" ca="1" si="102"/>
        <v>210.95252514660507</v>
      </c>
      <c r="L256" s="357">
        <f t="shared" ca="1" si="87"/>
        <v>215.80723253002296</v>
      </c>
      <c r="M256" s="359">
        <f t="shared" ca="1" si="103"/>
        <v>1.3426079152051518</v>
      </c>
      <c r="N256" s="357">
        <f t="shared" ca="1" si="104"/>
        <v>76.925767082113509</v>
      </c>
      <c r="O256" s="343"/>
      <c r="P256" s="363">
        <f t="shared" ca="1" si="105"/>
        <v>7</v>
      </c>
      <c r="Q256" s="357">
        <f t="shared" ca="1" si="106"/>
        <v>509.93617021276793</v>
      </c>
      <c r="R256" s="359">
        <f t="shared" ca="1" si="107"/>
        <v>0.25591320502620485</v>
      </c>
      <c r="S256" s="360">
        <f t="shared" ca="1" si="108"/>
        <v>8.8154038968450443</v>
      </c>
      <c r="T256" s="357">
        <f t="shared" ca="1" si="88"/>
        <v>86.479112228049885</v>
      </c>
      <c r="U256" s="364">
        <f t="shared" ca="1" si="89"/>
        <v>0</v>
      </c>
      <c r="V256" s="359">
        <f t="shared" ca="1" si="90"/>
        <v>1.199428039155199</v>
      </c>
      <c r="W256" s="357">
        <f t="shared" ca="1" si="91"/>
        <v>66.143569827457625</v>
      </c>
      <c r="X256" s="343"/>
      <c r="Y256" s="367" t="str">
        <f t="shared" ca="1" si="109"/>
        <v/>
      </c>
      <c r="Z256" s="368" t="str">
        <f t="shared" ca="1" si="110"/>
        <v/>
      </c>
      <c r="AA256" s="369" t="str">
        <f t="shared" ca="1" si="111"/>
        <v/>
      </c>
      <c r="AB256" s="344"/>
      <c r="AC256" s="363" t="e">
        <f t="shared" ca="1" si="112"/>
        <v>#N/A</v>
      </c>
      <c r="AD256" s="376" t="e">
        <f t="shared" ca="1" si="113"/>
        <v>#N/A</v>
      </c>
      <c r="AE256" s="377">
        <f t="shared" ca="1" si="92"/>
        <v>210.95252514660507</v>
      </c>
      <c r="AF256" s="344"/>
      <c r="AG256" s="359">
        <f t="shared" ca="1" si="114"/>
        <v>40.824901309510189</v>
      </c>
      <c r="AH256" s="357">
        <f t="shared" ca="1" si="115"/>
        <v>50.380919729074307</v>
      </c>
    </row>
    <row r="257" spans="1:34" x14ac:dyDescent="0.25">
      <c r="A257" s="402">
        <f t="shared" ca="1" si="93"/>
        <v>0.01</v>
      </c>
      <c r="B257" s="357">
        <f t="shared" ca="1" si="94"/>
        <v>2.52999999999999</v>
      </c>
      <c r="C257" s="342"/>
      <c r="D257" s="359">
        <f t="shared" ca="1" si="95"/>
        <v>11.339086083346654</v>
      </c>
      <c r="E257" s="360">
        <f t="shared" ca="1" si="96"/>
        <v>39.016278511000309</v>
      </c>
      <c r="F257" s="357">
        <f t="shared" ca="1" si="97"/>
        <v>40.630590225266111</v>
      </c>
      <c r="G257" s="359">
        <f t="shared" ca="1" si="98"/>
        <v>35.422355329941915</v>
      </c>
      <c r="H257" s="360">
        <f t="shared" ca="1" si="99"/>
        <v>152.43110510017829</v>
      </c>
      <c r="I257" s="357">
        <f t="shared" ca="1" si="100"/>
        <v>156.49276360005359</v>
      </c>
      <c r="J257" s="359">
        <f t="shared" ca="1" si="101"/>
        <v>45.87061768536779</v>
      </c>
      <c r="K257" s="360">
        <f t="shared" ca="1" si="102"/>
        <v>212.47488538368131</v>
      </c>
      <c r="L257" s="357">
        <f t="shared" ca="1" si="87"/>
        <v>217.36993924102222</v>
      </c>
      <c r="M257" s="359">
        <f t="shared" ca="1" si="103"/>
        <v>1.3424661097879538</v>
      </c>
      <c r="N257" s="357">
        <f t="shared" ca="1" si="104"/>
        <v>76.917642230195966</v>
      </c>
      <c r="O257" s="343"/>
      <c r="P257" s="363">
        <f t="shared" ca="1" si="105"/>
        <v>7</v>
      </c>
      <c r="Q257" s="357">
        <f t="shared" ca="1" si="106"/>
        <v>507.8936170212786</v>
      </c>
      <c r="R257" s="359">
        <f t="shared" ca="1" si="107"/>
        <v>0.25488814274546401</v>
      </c>
      <c r="S257" s="360">
        <f t="shared" ca="1" si="108"/>
        <v>8.8128550154175898</v>
      </c>
      <c r="T257" s="357">
        <f t="shared" ca="1" si="88"/>
        <v>86.454107701246556</v>
      </c>
      <c r="U257" s="364">
        <f t="shared" ca="1" si="89"/>
        <v>0</v>
      </c>
      <c r="V257" s="359">
        <f t="shared" ca="1" si="90"/>
        <v>1.1992454364375509</v>
      </c>
      <c r="W257" s="357">
        <f t="shared" ca="1" si="91"/>
        <v>66.477734784277487</v>
      </c>
      <c r="X257" s="343"/>
      <c r="Y257" s="367" t="str">
        <f t="shared" ca="1" si="109"/>
        <v/>
      </c>
      <c r="Z257" s="368" t="str">
        <f t="shared" ca="1" si="110"/>
        <v/>
      </c>
      <c r="AA257" s="369" t="str">
        <f t="shared" ca="1" si="111"/>
        <v/>
      </c>
      <c r="AB257" s="344"/>
      <c r="AC257" s="363" t="e">
        <f t="shared" ca="1" si="112"/>
        <v>#N/A</v>
      </c>
      <c r="AD257" s="376" t="e">
        <f t="shared" ca="1" si="113"/>
        <v>#N/A</v>
      </c>
      <c r="AE257" s="377">
        <f t="shared" ca="1" si="92"/>
        <v>212.47488538368131</v>
      </c>
      <c r="AF257" s="344"/>
      <c r="AG257" s="359">
        <f t="shared" ca="1" si="114"/>
        <v>40.569942392904842</v>
      </c>
      <c r="AH257" s="357">
        <f t="shared" ca="1" si="115"/>
        <v>50.125645596234634</v>
      </c>
    </row>
    <row r="258" spans="1:34" x14ac:dyDescent="0.25">
      <c r="A258" s="402">
        <f t="shared" ca="1" si="93"/>
        <v>0.01</v>
      </c>
      <c r="B258" s="357">
        <f t="shared" ca="1" si="94"/>
        <v>2.5399999999999898</v>
      </c>
      <c r="C258" s="342"/>
      <c r="D258" s="359">
        <f t="shared" ca="1" si="95"/>
        <v>11.288217308229585</v>
      </c>
      <c r="E258" s="360">
        <f t="shared" ca="1" si="96"/>
        <v>38.765974772912351</v>
      </c>
      <c r="F258" s="357">
        <f t="shared" ca="1" si="97"/>
        <v>40.37604054500504</v>
      </c>
      <c r="G258" s="359">
        <f t="shared" ca="1" si="98"/>
        <v>35.535237503024213</v>
      </c>
      <c r="H258" s="360">
        <f t="shared" ca="1" si="99"/>
        <v>152.8187648479074</v>
      </c>
      <c r="I258" s="357">
        <f t="shared" ca="1" si="100"/>
        <v>156.89591452308869</v>
      </c>
      <c r="J258" s="359">
        <f t="shared" ca="1" si="101"/>
        <v>46.225405649532618</v>
      </c>
      <c r="K258" s="360">
        <f t="shared" ca="1" si="102"/>
        <v>214.00113473342174</v>
      </c>
      <c r="L258" s="357">
        <f t="shared" ca="1" si="87"/>
        <v>218.93668900998748</v>
      </c>
      <c r="M258" s="359">
        <f t="shared" ca="1" si="103"/>
        <v>1.3423245823812036</v>
      </c>
      <c r="N258" s="357">
        <f t="shared" ca="1" si="104"/>
        <v>76.909533307103743</v>
      </c>
      <c r="O258" s="343"/>
      <c r="P258" s="363">
        <f t="shared" ca="1" si="105"/>
        <v>7</v>
      </c>
      <c r="Q258" s="357">
        <f t="shared" ca="1" si="106"/>
        <v>505.85106382978927</v>
      </c>
      <c r="R258" s="359">
        <f t="shared" ca="1" si="107"/>
        <v>0.25386308046472317</v>
      </c>
      <c r="S258" s="360">
        <f t="shared" ca="1" si="108"/>
        <v>8.8103163846129426</v>
      </c>
      <c r="T258" s="357">
        <f t="shared" ca="1" si="88"/>
        <v>86.429203733052972</v>
      </c>
      <c r="U258" s="364">
        <f t="shared" ca="1" si="89"/>
        <v>0</v>
      </c>
      <c r="V258" s="359">
        <f t="shared" ca="1" si="90"/>
        <v>1.1990623948419603</v>
      </c>
      <c r="W258" s="357">
        <f t="shared" ca="1" si="91"/>
        <v>66.810492095572357</v>
      </c>
      <c r="X258" s="343"/>
      <c r="Y258" s="367" t="str">
        <f t="shared" ca="1" si="109"/>
        <v/>
      </c>
      <c r="Z258" s="368" t="str">
        <f t="shared" ca="1" si="110"/>
        <v/>
      </c>
      <c r="AA258" s="369" t="str">
        <f t="shared" ca="1" si="111"/>
        <v/>
      </c>
      <c r="AB258" s="344"/>
      <c r="AC258" s="363" t="e">
        <f t="shared" ca="1" si="112"/>
        <v>#N/A</v>
      </c>
      <c r="AD258" s="376" t="e">
        <f t="shared" ca="1" si="113"/>
        <v>#N/A</v>
      </c>
      <c r="AE258" s="377">
        <f t="shared" ca="1" si="92"/>
        <v>214.00113473342174</v>
      </c>
      <c r="AF258" s="344"/>
      <c r="AG258" s="359">
        <f t="shared" ca="1" si="114"/>
        <v>40.314935172198659</v>
      </c>
      <c r="AH258" s="357">
        <f t="shared" ca="1" si="115"/>
        <v>49.870323591655499</v>
      </c>
    </row>
    <row r="259" spans="1:34" x14ac:dyDescent="0.25">
      <c r="A259" s="402">
        <f t="shared" ca="1" si="93"/>
        <v>0.01</v>
      </c>
      <c r="B259" s="357">
        <f t="shared" ca="1" si="94"/>
        <v>2.5499999999999896</v>
      </c>
      <c r="C259" s="342"/>
      <c r="D259" s="359">
        <f t="shared" ca="1" si="95"/>
        <v>11.237254122582153</v>
      </c>
      <c r="E259" s="360">
        <f t="shared" ca="1" si="96"/>
        <v>38.515645639737521</v>
      </c>
      <c r="F259" s="357">
        <f t="shared" ca="1" si="97"/>
        <v>40.121451111111639</v>
      </c>
      <c r="G259" s="359">
        <f t="shared" ca="1" si="98"/>
        <v>35.647610044250037</v>
      </c>
      <c r="H259" s="360">
        <f t="shared" ca="1" si="99"/>
        <v>153.20392130430477</v>
      </c>
      <c r="I259" s="357">
        <f t="shared" ca="1" si="100"/>
        <v>157.2965149165185</v>
      </c>
      <c r="J259" s="359">
        <f t="shared" ca="1" si="101"/>
        <v>46.58131988726899</v>
      </c>
      <c r="K259" s="360">
        <f t="shared" ca="1" si="102"/>
        <v>215.53124816418278</v>
      </c>
      <c r="L259" s="357">
        <f t="shared" ca="1" si="87"/>
        <v>220.50745633118763</v>
      </c>
      <c r="M259" s="359">
        <f t="shared" ca="1" si="103"/>
        <v>1.3421833294412089</v>
      </c>
      <c r="N259" s="357">
        <f t="shared" ca="1" si="104"/>
        <v>76.901440109798244</v>
      </c>
      <c r="O259" s="343"/>
      <c r="P259" s="363">
        <f t="shared" ca="1" si="105"/>
        <v>7</v>
      </c>
      <c r="Q259" s="357">
        <f t="shared" ca="1" si="106"/>
        <v>503.80851063829999</v>
      </c>
      <c r="R259" s="359">
        <f t="shared" ca="1" si="107"/>
        <v>0.25283801818398238</v>
      </c>
      <c r="S259" s="360">
        <f t="shared" ca="1" si="108"/>
        <v>8.807788004431103</v>
      </c>
      <c r="T259" s="357">
        <f t="shared" ca="1" si="88"/>
        <v>86.404400323469119</v>
      </c>
      <c r="U259" s="364">
        <f t="shared" ca="1" si="89"/>
        <v>0</v>
      </c>
      <c r="V259" s="359">
        <f t="shared" ca="1" si="90"/>
        <v>1.1988789175748129</v>
      </c>
      <c r="W259" s="357">
        <f t="shared" ca="1" si="91"/>
        <v>67.141825022270254</v>
      </c>
      <c r="X259" s="343"/>
      <c r="Y259" s="367" t="str">
        <f t="shared" ca="1" si="109"/>
        <v/>
      </c>
      <c r="Z259" s="368" t="str">
        <f t="shared" ca="1" si="110"/>
        <v/>
      </c>
      <c r="AA259" s="369" t="str">
        <f t="shared" ca="1" si="111"/>
        <v/>
      </c>
      <c r="AB259" s="344"/>
      <c r="AC259" s="363" t="e">
        <f t="shared" ca="1" si="112"/>
        <v>#N/A</v>
      </c>
      <c r="AD259" s="376" t="e">
        <f t="shared" ca="1" si="113"/>
        <v>#N/A</v>
      </c>
      <c r="AE259" s="377">
        <f t="shared" ca="1" si="92"/>
        <v>215.53124816418278</v>
      </c>
      <c r="AF259" s="344"/>
      <c r="AG259" s="359">
        <f t="shared" ca="1" si="114"/>
        <v>40.059882420885103</v>
      </c>
      <c r="AH259" s="357">
        <f t="shared" ca="1" si="115"/>
        <v>49.61495648202235</v>
      </c>
    </row>
    <row r="260" spans="1:34" x14ac:dyDescent="0.25">
      <c r="A260" s="402">
        <f t="shared" ca="1" si="93"/>
        <v>0.01</v>
      </c>
      <c r="B260" s="357">
        <f t="shared" ca="1" si="94"/>
        <v>2.5599999999999894</v>
      </c>
      <c r="C260" s="342"/>
      <c r="D260" s="359">
        <f t="shared" ca="1" si="95"/>
        <v>11.186197514370976</v>
      </c>
      <c r="E260" s="360">
        <f t="shared" ca="1" si="96"/>
        <v>38.265293731017806</v>
      </c>
      <c r="F260" s="357">
        <f t="shared" ca="1" si="97"/>
        <v>39.866824793951047</v>
      </c>
      <c r="G260" s="359">
        <f t="shared" ca="1" si="98"/>
        <v>35.759472019393748</v>
      </c>
      <c r="H260" s="360">
        <f t="shared" ca="1" si="99"/>
        <v>153.58657424161495</v>
      </c>
      <c r="I260" s="357">
        <f t="shared" ca="1" si="100"/>
        <v>157.69456435267801</v>
      </c>
      <c r="J260" s="359">
        <f t="shared" ca="1" si="101"/>
        <v>46.938355297587208</v>
      </c>
      <c r="K260" s="360">
        <f t="shared" ca="1" si="102"/>
        <v>217.06520064191238</v>
      </c>
      <c r="L260" s="357">
        <f t="shared" ref="L260:L323" ca="1" si="116">SQRT(pos_x^2+pos_z^2)</f>
        <v>222.08221569444999</v>
      </c>
      <c r="M260" s="359">
        <f t="shared" ca="1" si="103"/>
        <v>1.3420423474620566</v>
      </c>
      <c r="N260" s="357">
        <f t="shared" ca="1" si="104"/>
        <v>76.893362437405415</v>
      </c>
      <c r="O260" s="343"/>
      <c r="P260" s="363">
        <f t="shared" ca="1" si="105"/>
        <v>7</v>
      </c>
      <c r="Q260" s="357">
        <f t="shared" ca="1" si="106"/>
        <v>501.76595744681066</v>
      </c>
      <c r="R260" s="359">
        <f t="shared" ca="1" si="107"/>
        <v>0.2518129559032416</v>
      </c>
      <c r="S260" s="360">
        <f t="shared" ca="1" si="108"/>
        <v>8.8052698748720708</v>
      </c>
      <c r="T260" s="357">
        <f t="shared" ref="T260:T323" ca="1" si="117">m*g</f>
        <v>86.379697472495025</v>
      </c>
      <c r="U260" s="364">
        <f t="shared" ref="U260:U323" ca="1" si="118">IF(pos_xz&lt;L_rampe,Poids*COS(Beta),0)</f>
        <v>0</v>
      </c>
      <c r="V260" s="359">
        <f t="shared" ref="V260:V323" ca="1" si="119">Rho_moyen*(20000-Alt_rampe-pos_z)/(20000+Alt_rampe+pos_z)</f>
        <v>1.1986950078414054</v>
      </c>
      <c r="W260" s="357">
        <f t="shared" ref="W260:W323" ca="1" si="120">1/2*Rho*Sref*Cx*vit_xz^2</f>
        <v>67.471716967749373</v>
      </c>
      <c r="X260" s="343"/>
      <c r="Y260" s="367" t="str">
        <f t="shared" ca="1" si="109"/>
        <v/>
      </c>
      <c r="Z260" s="368" t="str">
        <f t="shared" ca="1" si="110"/>
        <v/>
      </c>
      <c r="AA260" s="369" t="str">
        <f t="shared" ca="1" si="111"/>
        <v/>
      </c>
      <c r="AB260" s="344"/>
      <c r="AC260" s="363" t="e">
        <f t="shared" ca="1" si="112"/>
        <v>#N/A</v>
      </c>
      <c r="AD260" s="376" t="e">
        <f t="shared" ca="1" si="113"/>
        <v>#N/A</v>
      </c>
      <c r="AE260" s="377">
        <f t="shared" ref="AE260:AE323" ca="1" si="121">IF(t&lt;T_para, pos_z, NA())</f>
        <v>217.06520064191238</v>
      </c>
      <c r="AF260" s="344"/>
      <c r="AG260" s="359">
        <f t="shared" ca="1" si="114"/>
        <v>39.804786899736321</v>
      </c>
      <c r="AH260" s="357">
        <f t="shared" ca="1" si="115"/>
        <v>49.359547021363149</v>
      </c>
    </row>
    <row r="261" spans="1:34" x14ac:dyDescent="0.25">
      <c r="A261" s="402">
        <f t="shared" ref="A261:A324" ca="1" si="122">IF(B260+0.01&lt;=T_ini+ROUNDUP(Temps_fin_propu,0), 0.01, IF(K260&gt;0, 0.1, 0.0001))</f>
        <v>0.01</v>
      </c>
      <c r="B261" s="357">
        <f t="shared" ref="B261:B324" ca="1" si="123">B260+pas</f>
        <v>2.5699999999999892</v>
      </c>
      <c r="C261" s="342"/>
      <c r="D261" s="359">
        <f t="shared" ref="D261:D324" ca="1" si="124">IF(AND(L260&lt;L_rampe,Poussee&lt;Poids*SIN(M260)),0,(-W260+Poussee)/m*COS(M260)-U260/m*SIN(M260))</f>
        <v>11.135048464882063</v>
      </c>
      <c r="E261" s="360">
        <f t="shared" ref="E261:E324" ca="1" si="125">IF(AND(L260&lt;L_rampe,Poussee&lt;Poids*SIN(M260)),0,(-W260+Poussee)/m*SIN(M260)+U260/m*COS(M260)-Poids/m)</f>
        <v>38.014921654550307</v>
      </c>
      <c r="F261" s="357">
        <f t="shared" ref="F261:F324" ca="1" si="126">SQRT(acc_x^2+acc_z^2)</f>
        <v>39.612164453824917</v>
      </c>
      <c r="G261" s="359">
        <f t="shared" ref="G261:G324" ca="1" si="127">G260+acc_x*pas</f>
        <v>35.870822504042572</v>
      </c>
      <c r="H261" s="360">
        <f t="shared" ref="H261:H324" ca="1" si="128">H260+acc_z*pas</f>
        <v>153.96672345816046</v>
      </c>
      <c r="I261" s="357">
        <f t="shared" ref="I261:I324" ca="1" si="129">SQRT(vit_x^2+vit_z^2)</f>
        <v>158.09006243138177</v>
      </c>
      <c r="J261" s="359">
        <f t="shared" ref="J261:J324" ca="1" si="130">J260+0.5*(vit_x+G260)*pas*(K260&gt;=0)</f>
        <v>47.296506770204388</v>
      </c>
      <c r="K261" s="360">
        <f t="shared" ref="K261:K324" ca="1" si="131">K260+0.5*(vit_z+H260)*pas</f>
        <v>218.60296713041126</v>
      </c>
      <c r="L261" s="357">
        <f t="shared" ca="1" si="116"/>
        <v>223.66094158543564</v>
      </c>
      <c r="M261" s="359">
        <f t="shared" ref="M261:M324" ca="1" si="132">IF(AND(L260&gt;L_rampe,G261&gt;0),ATAN2(G261,H261),$M$4)</f>
        <v>1.3419016329749436</v>
      </c>
      <c r="N261" s="357">
        <f t="shared" ref="N261:N324" ca="1" si="133">DEGREES(Beta)</f>
        <v>76.885300091177484</v>
      </c>
      <c r="O261" s="343"/>
      <c r="P261" s="363">
        <f t="shared" ref="P261:P324" ca="1" si="134">MATCH(t-pas/2-T_ini,CdP_t)</f>
        <v>7</v>
      </c>
      <c r="Q261" s="357">
        <f t="shared" ref="Q261:Q324" ca="1" si="135">(INDEX(CdP,2,i_P+1)-INDEX(CdP,2,i_P+0))/(INDEX(CdP,1,i_P+1)-INDEX(CdP,1,i_P+0))*(t-pas/2-T_ini-INDEX(CdP,1,i_P+0))+INDEX(CdP,2,i_P+0)</f>
        <v>499.72340425532133</v>
      </c>
      <c r="R261" s="359">
        <f t="shared" ref="R261:R324" ca="1" si="136">Poussee/(g*ISP)</f>
        <v>0.25078789362250076</v>
      </c>
      <c r="S261" s="360">
        <f t="shared" ref="S261:S324" ca="1" si="137">S260-Débit*pas</f>
        <v>8.8027619959358461</v>
      </c>
      <c r="T261" s="357">
        <f t="shared" ca="1" si="117"/>
        <v>86.355095180130661</v>
      </c>
      <c r="U261" s="364">
        <f t="shared" ca="1" si="118"/>
        <v>0</v>
      </c>
      <c r="V261" s="359">
        <f t="shared" ca="1" si="119"/>
        <v>1.1985106688459042</v>
      </c>
      <c r="W261" s="357">
        <f t="shared" ca="1" si="120"/>
        <v>67.800151478014357</v>
      </c>
      <c r="X261" s="343"/>
      <c r="Y261" s="367" t="str">
        <f t="shared" ref="Y261:Y324" ca="1" si="138">IF(AND(pos_z&lt;=0,K260&gt;0),"Impact balistique","") &amp; IF(AND(H262&lt;0,vit_z&gt;=0),"Apogée","") &amp; IF(AND(Poussee=0,Q260&gt;0),"Fin de propulsion","") &amp; IF(AND(L262&gt;L_rampe,pos_xz&lt;=L_rampe),"Sortie de rampe","")</f>
        <v/>
      </c>
      <c r="Z261" s="368" t="str">
        <f t="shared" ref="Z261:Z324" ca="1" si="139">IF(ABS(t-T_para)&lt;pas/2,"Para","")</f>
        <v/>
      </c>
      <c r="AA261" s="369" t="str">
        <f t="shared" ref="AA261:AA324" ca="1" si="140">IF(ABS(t-T_satellite)&lt;pas/2,"Satellite","")</f>
        <v/>
      </c>
      <c r="AB261" s="344"/>
      <c r="AC261" s="363" t="e">
        <f t="shared" ref="AC261:AC324" ca="1" si="141">IF(ABS(t-ROUND(t,0))&lt;0.001,t,NA())</f>
        <v>#N/A</v>
      </c>
      <c r="AD261" s="376" t="e">
        <f t="shared" ref="AD261:AD324" ca="1" si="142">IF(ABS(t-ROUND(t,0))&lt;0.001,pos_x,NA())</f>
        <v>#N/A</v>
      </c>
      <c r="AE261" s="377">
        <f t="shared" ca="1" si="121"/>
        <v>218.60296713041126</v>
      </c>
      <c r="AF261" s="344"/>
      <c r="AG261" s="359">
        <f t="shared" ref="AG261:AG324" ca="1" si="143">IF(AND(L260&lt;L_rampe,Poussee&lt;Poids*SIN(M260)),0,(-W260+Poussee)/m-Poids*SIN(M260)/m)</f>
        <v>39.549651356732994</v>
      </c>
      <c r="AH261" s="357">
        <f t="shared" ref="AH261:AH324" ca="1" si="144">IF(AND(L260&lt;L_rampe,Poussee&lt;Poids*SIN(M260)), g*SIN(M260), (-W260+Poussee)/m)</f>
        <v>49.104097950977042</v>
      </c>
    </row>
    <row r="262" spans="1:34" x14ac:dyDescent="0.25">
      <c r="A262" s="402">
        <f t="shared" ca="1" si="122"/>
        <v>0.01</v>
      </c>
      <c r="B262" s="357">
        <f t="shared" ca="1" si="123"/>
        <v>2.579999999999989</v>
      </c>
      <c r="C262" s="342"/>
      <c r="D262" s="359">
        <f t="shared" ca="1" si="124"/>
        <v>11.083807948767094</v>
      </c>
      <c r="E262" s="360">
        <f t="shared" ca="1" si="125"/>
        <v>37.764532006308478</v>
      </c>
      <c r="F262" s="357">
        <f t="shared" ca="1" si="126"/>
        <v>39.3574729409886</v>
      </c>
      <c r="G262" s="359">
        <f t="shared" ca="1" si="127"/>
        <v>35.981660583530243</v>
      </c>
      <c r="H262" s="360">
        <f t="shared" ca="1" si="128"/>
        <v>154.34436877822355</v>
      </c>
      <c r="I262" s="357">
        <f t="shared" ca="1" si="129"/>
        <v>158.4830087797952</v>
      </c>
      <c r="J262" s="359">
        <f t="shared" ca="1" si="130"/>
        <v>47.655769185642249</v>
      </c>
      <c r="K262" s="360">
        <f t="shared" ca="1" si="131"/>
        <v>220.14452259159319</v>
      </c>
      <c r="L262" s="357">
        <f t="shared" ca="1" si="116"/>
        <v>225.24360848591397</v>
      </c>
      <c r="M262" s="359">
        <f t="shared" ca="1" si="132"/>
        <v>1.3417611825475186</v>
      </c>
      <c r="N262" s="357">
        <f t="shared" ca="1" si="133"/>
        <v>76.877252874455223</v>
      </c>
      <c r="O262" s="343"/>
      <c r="P262" s="363">
        <f t="shared" ca="1" si="134"/>
        <v>7</v>
      </c>
      <c r="Q262" s="357">
        <f t="shared" ca="1" si="135"/>
        <v>497.68085106383205</v>
      </c>
      <c r="R262" s="359">
        <f t="shared" ca="1" si="136"/>
        <v>0.24976283134175997</v>
      </c>
      <c r="S262" s="360">
        <f t="shared" ca="1" si="137"/>
        <v>8.8002643676224288</v>
      </c>
      <c r="T262" s="357">
        <f t="shared" ca="1" si="117"/>
        <v>86.330593446376028</v>
      </c>
      <c r="U262" s="364">
        <f t="shared" ca="1" si="118"/>
        <v>0</v>
      </c>
      <c r="V262" s="359">
        <f t="shared" ca="1" si="119"/>
        <v>1.1983259037913014</v>
      </c>
      <c r="W262" s="357">
        <f t="shared" ca="1" si="120"/>
        <v>68.127112241862605</v>
      </c>
      <c r="X262" s="343"/>
      <c r="Y262" s="367" t="str">
        <f t="shared" ca="1" si="138"/>
        <v/>
      </c>
      <c r="Z262" s="368" t="str">
        <f t="shared" ca="1" si="139"/>
        <v/>
      </c>
      <c r="AA262" s="369" t="str">
        <f t="shared" ca="1" si="140"/>
        <v/>
      </c>
      <c r="AB262" s="344"/>
      <c r="AC262" s="363" t="e">
        <f t="shared" ca="1" si="141"/>
        <v>#N/A</v>
      </c>
      <c r="AD262" s="376" t="e">
        <f t="shared" ca="1" si="142"/>
        <v>#N/A</v>
      </c>
      <c r="AE262" s="377">
        <f t="shared" ca="1" si="121"/>
        <v>220.14452259159319</v>
      </c>
      <c r="AF262" s="344"/>
      <c r="AG262" s="359">
        <f t="shared" ca="1" si="143"/>
        <v>39.294478526995242</v>
      </c>
      <c r="AH262" s="357">
        <f t="shared" ca="1" si="144"/>
        <v>48.848611999364145</v>
      </c>
    </row>
    <row r="263" spans="1:34" x14ac:dyDescent="0.25">
      <c r="A263" s="402">
        <f t="shared" ca="1" si="122"/>
        <v>0.01</v>
      </c>
      <c r="B263" s="357">
        <f t="shared" ca="1" si="123"/>
        <v>2.5899999999999888</v>
      </c>
      <c r="C263" s="342"/>
      <c r="D263" s="359">
        <f t="shared" ca="1" si="124"/>
        <v>11.032476934088645</v>
      </c>
      <c r="E263" s="360">
        <f t="shared" ca="1" si="125"/>
        <v>37.514127370364861</v>
      </c>
      <c r="F263" s="357">
        <f t="shared" ca="1" si="126"/>
        <v>39.102753095672895</v>
      </c>
      <c r="G263" s="359">
        <f t="shared" ca="1" si="127"/>
        <v>36.091985352871127</v>
      </c>
      <c r="H263" s="360">
        <f t="shared" ca="1" si="128"/>
        <v>154.71951005192722</v>
      </c>
      <c r="I263" s="357">
        <f t="shared" ca="1" si="129"/>
        <v>158.87340305230538</v>
      </c>
      <c r="J263" s="359">
        <f t="shared" ca="1" si="130"/>
        <v>48.016137415324259</v>
      </c>
      <c r="K263" s="360">
        <f t="shared" ca="1" si="131"/>
        <v>221.68984198574395</v>
      </c>
      <c r="L263" s="357">
        <f t="shared" ca="1" si="116"/>
        <v>226.83019087403562</v>
      </c>
      <c r="M263" s="359">
        <f t="shared" ca="1" si="132"/>
        <v>1.3416209927832392</v>
      </c>
      <c r="N263" s="357">
        <f t="shared" ca="1" si="133"/>
        <v>76.869220592631081</v>
      </c>
      <c r="O263" s="343"/>
      <c r="P263" s="363">
        <f t="shared" ca="1" si="134"/>
        <v>7</v>
      </c>
      <c r="Q263" s="357">
        <f t="shared" ca="1" si="135"/>
        <v>495.63829787234272</v>
      </c>
      <c r="R263" s="359">
        <f t="shared" ca="1" si="136"/>
        <v>0.24873776906101916</v>
      </c>
      <c r="S263" s="360">
        <f t="shared" ca="1" si="137"/>
        <v>8.797776989931819</v>
      </c>
      <c r="T263" s="357">
        <f t="shared" ca="1" si="117"/>
        <v>86.306192271231154</v>
      </c>
      <c r="U263" s="364">
        <f t="shared" ca="1" si="118"/>
        <v>0</v>
      </c>
      <c r="V263" s="359">
        <f t="shared" ca="1" si="119"/>
        <v>1.1981407158793742</v>
      </c>
      <c r="W263" s="357">
        <f t="shared" ca="1" si="120"/>
        <v>68.452583091040864</v>
      </c>
      <c r="X263" s="343"/>
      <c r="Y263" s="367" t="str">
        <f t="shared" ca="1" si="138"/>
        <v/>
      </c>
      <c r="Z263" s="368" t="str">
        <f t="shared" ca="1" si="139"/>
        <v/>
      </c>
      <c r="AA263" s="369" t="str">
        <f t="shared" ca="1" si="140"/>
        <v/>
      </c>
      <c r="AB263" s="344"/>
      <c r="AC263" s="363" t="e">
        <f t="shared" ca="1" si="141"/>
        <v>#N/A</v>
      </c>
      <c r="AD263" s="376" t="e">
        <f t="shared" ca="1" si="142"/>
        <v>#N/A</v>
      </c>
      <c r="AE263" s="377">
        <f t="shared" ca="1" si="121"/>
        <v>221.68984198574395</v>
      </c>
      <c r="AF263" s="344"/>
      <c r="AG263" s="359">
        <f t="shared" ca="1" si="143"/>
        <v>39.039271132714823</v>
      </c>
      <c r="AH263" s="357">
        <f t="shared" ca="1" si="144"/>
        <v>48.593091882156614</v>
      </c>
    </row>
    <row r="264" spans="1:34" x14ac:dyDescent="0.25">
      <c r="A264" s="402">
        <f t="shared" ca="1" si="122"/>
        <v>0.01</v>
      </c>
      <c r="B264" s="357">
        <f t="shared" ca="1" si="123"/>
        <v>2.5999999999999885</v>
      </c>
      <c r="C264" s="342"/>
      <c r="D264" s="359">
        <f t="shared" ca="1" si="124"/>
        <v>10.981056382364221</v>
      </c>
      <c r="E264" s="360">
        <f t="shared" ca="1" si="125"/>
        <v>37.263710318815285</v>
      </c>
      <c r="F264" s="357">
        <f t="shared" ca="1" si="126"/>
        <v>38.848007748110362</v>
      </c>
      <c r="G264" s="359">
        <f t="shared" ca="1" si="127"/>
        <v>36.20179591669477</v>
      </c>
      <c r="H264" s="360">
        <f t="shared" ca="1" si="128"/>
        <v>155.09214715511536</v>
      </c>
      <c r="I264" s="357">
        <f t="shared" ca="1" si="129"/>
        <v>159.26124493039094</v>
      </c>
      <c r="J264" s="359">
        <f t="shared" ca="1" si="130"/>
        <v>48.37760632167209</v>
      </c>
      <c r="K264" s="360">
        <f t="shared" ca="1" si="131"/>
        <v>223.23890027177916</v>
      </c>
      <c r="L264" s="357">
        <f t="shared" ca="1" si="116"/>
        <v>228.4206632246042</v>
      </c>
      <c r="M264" s="359">
        <f t="shared" ca="1" si="132"/>
        <v>1.3414810603207399</v>
      </c>
      <c r="N264" s="357">
        <f t="shared" ca="1" si="133"/>
        <v>76.861203053113002</v>
      </c>
      <c r="O264" s="343"/>
      <c r="P264" s="363">
        <f t="shared" ca="1" si="134"/>
        <v>7</v>
      </c>
      <c r="Q264" s="357">
        <f t="shared" ca="1" si="135"/>
        <v>493.59574468085339</v>
      </c>
      <c r="R264" s="359">
        <f t="shared" ca="1" si="136"/>
        <v>0.24771270678027832</v>
      </c>
      <c r="S264" s="360">
        <f t="shared" ca="1" si="137"/>
        <v>8.7952998628640167</v>
      </c>
      <c r="T264" s="357">
        <f t="shared" ca="1" si="117"/>
        <v>86.281891654696011</v>
      </c>
      <c r="U264" s="364">
        <f t="shared" ca="1" si="118"/>
        <v>0</v>
      </c>
      <c r="V264" s="359">
        <f t="shared" ca="1" si="119"/>
        <v>1.1979551083106421</v>
      </c>
      <c r="W264" s="357">
        <f t="shared" ca="1" si="120"/>
        <v>68.776548000391983</v>
      </c>
      <c r="X264" s="343"/>
      <c r="Y264" s="367" t="str">
        <f t="shared" ca="1" si="138"/>
        <v/>
      </c>
      <c r="Z264" s="368" t="str">
        <f t="shared" ca="1" si="139"/>
        <v/>
      </c>
      <c r="AA264" s="369" t="str">
        <f t="shared" ca="1" si="140"/>
        <v/>
      </c>
      <c r="AB264" s="344"/>
      <c r="AC264" s="363" t="e">
        <f t="shared" ca="1" si="141"/>
        <v>#N/A</v>
      </c>
      <c r="AD264" s="376" t="e">
        <f t="shared" ca="1" si="142"/>
        <v>#N/A</v>
      </c>
      <c r="AE264" s="377">
        <f t="shared" ca="1" si="121"/>
        <v>223.23890027177916</v>
      </c>
      <c r="AF264" s="344"/>
      <c r="AG264" s="359">
        <f t="shared" ca="1" si="143"/>
        <v>38.784031883088538</v>
      </c>
      <c r="AH264" s="357">
        <f t="shared" ca="1" si="144"/>
        <v>48.33754030205094</v>
      </c>
    </row>
    <row r="265" spans="1:34" x14ac:dyDescent="0.25">
      <c r="A265" s="402">
        <f t="shared" ca="1" si="122"/>
        <v>0.01</v>
      </c>
      <c r="B265" s="357">
        <f t="shared" ca="1" si="123"/>
        <v>2.6099999999999883</v>
      </c>
      <c r="C265" s="342"/>
      <c r="D265" s="359">
        <f t="shared" ca="1" si="124"/>
        <v>10.929547248609193</v>
      </c>
      <c r="E265" s="360">
        <f t="shared" ca="1" si="125"/>
        <v>37.013283411704435</v>
      </c>
      <c r="F265" s="357">
        <f t="shared" ca="1" si="126"/>
        <v>38.593239718566458</v>
      </c>
      <c r="G265" s="359">
        <f t="shared" ca="1" si="127"/>
        <v>36.311091389180859</v>
      </c>
      <c r="H265" s="360">
        <f t="shared" ca="1" si="128"/>
        <v>155.4622799892324</v>
      </c>
      <c r="I265" s="357">
        <f t="shared" ca="1" si="129"/>
        <v>159.6465341224918</v>
      </c>
      <c r="J265" s="359">
        <f t="shared" ca="1" si="130"/>
        <v>48.740170758201465</v>
      </c>
      <c r="K265" s="360">
        <f t="shared" ca="1" si="131"/>
        <v>224.7916724075009</v>
      </c>
      <c r="L265" s="357">
        <f t="shared" ca="1" si="116"/>
        <v>230.01500000934686</v>
      </c>
      <c r="M265" s="359">
        <f t="shared" ca="1" si="132"/>
        <v>1.3413413818332141</v>
      </c>
      <c r="N265" s="357">
        <f t="shared" ca="1" si="133"/>
        <v>76.853200065289002</v>
      </c>
      <c r="O265" s="343"/>
      <c r="P265" s="363">
        <f t="shared" ca="1" si="134"/>
        <v>7</v>
      </c>
      <c r="Q265" s="357">
        <f t="shared" ca="1" si="135"/>
        <v>491.55319148936405</v>
      </c>
      <c r="R265" s="359">
        <f t="shared" ca="1" si="136"/>
        <v>0.24668764449953751</v>
      </c>
      <c r="S265" s="360">
        <f t="shared" ca="1" si="137"/>
        <v>8.7928329864190218</v>
      </c>
      <c r="T265" s="357">
        <f t="shared" ca="1" si="117"/>
        <v>86.257691596770613</v>
      </c>
      <c r="U265" s="364">
        <f t="shared" ca="1" si="118"/>
        <v>0</v>
      </c>
      <c r="V265" s="359">
        <f t="shared" ca="1" si="119"/>
        <v>1.1977690842843269</v>
      </c>
      <c r="W265" s="357">
        <f t="shared" ca="1" si="120"/>
        <v>69.098991087992587</v>
      </c>
      <c r="X265" s="343"/>
      <c r="Y265" s="367" t="str">
        <f t="shared" ca="1" si="138"/>
        <v/>
      </c>
      <c r="Z265" s="368" t="str">
        <f t="shared" ca="1" si="139"/>
        <v/>
      </c>
      <c r="AA265" s="369" t="str">
        <f t="shared" ca="1" si="140"/>
        <v/>
      </c>
      <c r="AB265" s="344"/>
      <c r="AC265" s="363" t="e">
        <f t="shared" ca="1" si="141"/>
        <v>#N/A</v>
      </c>
      <c r="AD265" s="376" t="e">
        <f t="shared" ca="1" si="142"/>
        <v>#N/A</v>
      </c>
      <c r="AE265" s="377">
        <f t="shared" ca="1" si="121"/>
        <v>224.7916724075009</v>
      </c>
      <c r="AF265" s="344"/>
      <c r="AG265" s="359">
        <f t="shared" ca="1" si="143"/>
        <v>38.528763474252813</v>
      </c>
      <c r="AH265" s="357">
        <f t="shared" ca="1" si="144"/>
        <v>48.081959948741449</v>
      </c>
    </row>
    <row r="266" spans="1:34" x14ac:dyDescent="0.25">
      <c r="A266" s="402">
        <f t="shared" ca="1" si="122"/>
        <v>0.01</v>
      </c>
      <c r="B266" s="357">
        <f t="shared" ca="1" si="123"/>
        <v>2.6199999999999881</v>
      </c>
      <c r="C266" s="342"/>
      <c r="D266" s="359">
        <f t="shared" ca="1" si="124"/>
        <v>10.877950481378642</v>
      </c>
      <c r="E266" s="360">
        <f t="shared" ca="1" si="125"/>
        <v>36.762849196952814</v>
      </c>
      <c r="F266" s="357">
        <f t="shared" ca="1" si="126"/>
        <v>38.338451817375464</v>
      </c>
      <c r="G266" s="359">
        <f t="shared" ca="1" si="127"/>
        <v>36.419870893994648</v>
      </c>
      <c r="H266" s="360">
        <f t="shared" ca="1" si="128"/>
        <v>155.82990848120193</v>
      </c>
      <c r="I266" s="357">
        <f t="shared" ca="1" si="129"/>
        <v>160.02927036387752</v>
      </c>
      <c r="J266" s="359">
        <f t="shared" ca="1" si="130"/>
        <v>49.103825569617342</v>
      </c>
      <c r="K266" s="360">
        <f t="shared" ca="1" si="131"/>
        <v>226.34813334985307</v>
      </c>
      <c r="L266" s="357">
        <f t="shared" ca="1" si="116"/>
        <v>231.61317569718324</v>
      </c>
      <c r="M266" s="359">
        <f t="shared" ca="1" si="132"/>
        <v>1.3412019540278082</v>
      </c>
      <c r="N266" s="357">
        <f t="shared" ca="1" si="133"/>
        <v>76.845211440492477</v>
      </c>
      <c r="O266" s="343"/>
      <c r="P266" s="363">
        <f t="shared" ca="1" si="134"/>
        <v>7</v>
      </c>
      <c r="Q266" s="357">
        <f t="shared" ca="1" si="135"/>
        <v>489.51063829787478</v>
      </c>
      <c r="R266" s="359">
        <f t="shared" ca="1" si="136"/>
        <v>0.24566258221879672</v>
      </c>
      <c r="S266" s="360">
        <f t="shared" ca="1" si="137"/>
        <v>8.7903763605968344</v>
      </c>
      <c r="T266" s="357">
        <f t="shared" ca="1" si="117"/>
        <v>86.233592097454945</v>
      </c>
      <c r="U266" s="364">
        <f t="shared" ca="1" si="118"/>
        <v>0</v>
      </c>
      <c r="V266" s="359">
        <f t="shared" ca="1" si="119"/>
        <v>1.1975826469983093</v>
      </c>
      <c r="W266" s="357">
        <f t="shared" ca="1" si="120"/>
        <v>69.419896615280265</v>
      </c>
      <c r="X266" s="343"/>
      <c r="Y266" s="367" t="str">
        <f t="shared" ca="1" si="138"/>
        <v/>
      </c>
      <c r="Z266" s="368" t="str">
        <f t="shared" ca="1" si="139"/>
        <v/>
      </c>
      <c r="AA266" s="369" t="str">
        <f t="shared" ca="1" si="140"/>
        <v/>
      </c>
      <c r="AB266" s="344"/>
      <c r="AC266" s="363" t="e">
        <f t="shared" ca="1" si="141"/>
        <v>#N/A</v>
      </c>
      <c r="AD266" s="376" t="e">
        <f t="shared" ca="1" si="142"/>
        <v>#N/A</v>
      </c>
      <c r="AE266" s="377">
        <f t="shared" ca="1" si="121"/>
        <v>226.34813334985307</v>
      </c>
      <c r="AF266" s="344"/>
      <c r="AG266" s="359">
        <f t="shared" ca="1" si="143"/>
        <v>38.273468589219384</v>
      </c>
      <c r="AH266" s="357">
        <f t="shared" ca="1" si="144"/>
        <v>47.826353498854942</v>
      </c>
    </row>
    <row r="267" spans="1:34" x14ac:dyDescent="0.25">
      <c r="A267" s="402">
        <f t="shared" ca="1" si="122"/>
        <v>0.01</v>
      </c>
      <c r="B267" s="357">
        <f t="shared" ca="1" si="123"/>
        <v>2.6299999999999879</v>
      </c>
      <c r="C267" s="342"/>
      <c r="D267" s="359">
        <f t="shared" ca="1" si="124"/>
        <v>10.826267022808135</v>
      </c>
      <c r="E267" s="360">
        <f t="shared" ca="1" si="125"/>
        <v>36.512410210285189</v>
      </c>
      <c r="F267" s="357">
        <f t="shared" ca="1" si="126"/>
        <v>38.083646844981651</v>
      </c>
      <c r="G267" s="359">
        <f t="shared" ca="1" si="127"/>
        <v>36.528133564222728</v>
      </c>
      <c r="H267" s="360">
        <f t="shared" ca="1" si="128"/>
        <v>156.19503258330477</v>
      </c>
      <c r="I267" s="357">
        <f t="shared" ca="1" si="129"/>
        <v>160.40945341651573</v>
      </c>
      <c r="J267" s="359">
        <f t="shared" ca="1" si="130"/>
        <v>49.46856559190843</v>
      </c>
      <c r="K267" s="360">
        <f t="shared" ca="1" si="131"/>
        <v>227.90825805517559</v>
      </c>
      <c r="L267" s="357">
        <f t="shared" ca="1" si="116"/>
        <v>233.21516475449332</v>
      </c>
      <c r="M267" s="359">
        <f t="shared" ca="1" si="132"/>
        <v>1.3410627736450274</v>
      </c>
      <c r="N267" s="357">
        <f t="shared" ca="1" si="133"/>
        <v>76.837236991968112</v>
      </c>
      <c r="O267" s="343"/>
      <c r="P267" s="363">
        <f t="shared" ca="1" si="134"/>
        <v>7</v>
      </c>
      <c r="Q267" s="357">
        <f t="shared" ca="1" si="135"/>
        <v>487.46808510638544</v>
      </c>
      <c r="R267" s="359">
        <f t="shared" ca="1" si="136"/>
        <v>0.24463751993805591</v>
      </c>
      <c r="S267" s="360">
        <f t="shared" ca="1" si="137"/>
        <v>8.7879299853974544</v>
      </c>
      <c r="T267" s="357">
        <f t="shared" ca="1" si="117"/>
        <v>86.209593156749037</v>
      </c>
      <c r="U267" s="364">
        <f t="shared" ca="1" si="118"/>
        <v>0</v>
      </c>
      <c r="V267" s="359">
        <f t="shared" ca="1" si="119"/>
        <v>1.19739579964909</v>
      </c>
      <c r="W267" s="357">
        <f t="shared" ca="1" si="120"/>
        <v>69.739248987172132</v>
      </c>
      <c r="X267" s="343"/>
      <c r="Y267" s="367" t="str">
        <f t="shared" ca="1" si="138"/>
        <v/>
      </c>
      <c r="Z267" s="368" t="str">
        <f t="shared" ca="1" si="139"/>
        <v/>
      </c>
      <c r="AA267" s="369" t="str">
        <f t="shared" ca="1" si="140"/>
        <v/>
      </c>
      <c r="AB267" s="344"/>
      <c r="AC267" s="363" t="e">
        <f t="shared" ca="1" si="141"/>
        <v>#N/A</v>
      </c>
      <c r="AD267" s="376" t="e">
        <f t="shared" ca="1" si="142"/>
        <v>#N/A</v>
      </c>
      <c r="AE267" s="377">
        <f t="shared" ca="1" si="121"/>
        <v>227.90825805517559</v>
      </c>
      <c r="AF267" s="344"/>
      <c r="AG267" s="359">
        <f t="shared" ca="1" si="143"/>
        <v>38.018149897812307</v>
      </c>
      <c r="AH267" s="357">
        <f t="shared" ca="1" si="144"/>
        <v>47.570723615886656</v>
      </c>
    </row>
    <row r="268" spans="1:34" x14ac:dyDescent="0.25">
      <c r="A268" s="402">
        <f t="shared" ca="1" si="122"/>
        <v>0.01</v>
      </c>
      <c r="B268" s="357">
        <f t="shared" ca="1" si="123"/>
        <v>2.6399999999999877</v>
      </c>
      <c r="C268" s="342"/>
      <c r="D268" s="359">
        <f t="shared" ca="1" si="124"/>
        <v>10.77449780865353</v>
      </c>
      <c r="E268" s="360">
        <f t="shared" ca="1" si="125"/>
        <v>36.261968975160379</v>
      </c>
      <c r="F268" s="357">
        <f t="shared" ca="1" si="126"/>
        <v>37.828827591985629</v>
      </c>
      <c r="G268" s="359">
        <f t="shared" ca="1" si="127"/>
        <v>36.635878542309264</v>
      </c>
      <c r="H268" s="360">
        <f t="shared" ca="1" si="128"/>
        <v>156.55765227305636</v>
      </c>
      <c r="I268" s="357">
        <f t="shared" ca="1" si="129"/>
        <v>160.78708306893955</v>
      </c>
      <c r="J268" s="359">
        <f t="shared" ca="1" si="130"/>
        <v>49.834385652441092</v>
      </c>
      <c r="K268" s="360">
        <f t="shared" ca="1" si="131"/>
        <v>229.4720214794574</v>
      </c>
      <c r="L268" s="357">
        <f t="shared" ca="1" si="116"/>
        <v>234.8209416453839</v>
      </c>
      <c r="M268" s="359">
        <f t="shared" ca="1" si="132"/>
        <v>1.3409238374581522</v>
      </c>
      <c r="N268" s="357">
        <f t="shared" ca="1" si="133"/>
        <v>76.829276534838527</v>
      </c>
      <c r="O268" s="343"/>
      <c r="P268" s="363">
        <f t="shared" ca="1" si="134"/>
        <v>7</v>
      </c>
      <c r="Q268" s="357">
        <f t="shared" ca="1" si="135"/>
        <v>485.42553191489611</v>
      </c>
      <c r="R268" s="359">
        <f t="shared" ca="1" si="136"/>
        <v>0.24361245765731507</v>
      </c>
      <c r="S268" s="360">
        <f t="shared" ca="1" si="137"/>
        <v>8.7854938608208819</v>
      </c>
      <c r="T268" s="357">
        <f t="shared" ca="1" si="117"/>
        <v>86.185694774652859</v>
      </c>
      <c r="U268" s="364">
        <f t="shared" ca="1" si="118"/>
        <v>0</v>
      </c>
      <c r="V268" s="359">
        <f t="shared" ca="1" si="119"/>
        <v>1.197208545431748</v>
      </c>
      <c r="W268" s="357">
        <f t="shared" ca="1" si="120"/>
        <v>70.057032752173342</v>
      </c>
      <c r="X268" s="343"/>
      <c r="Y268" s="367" t="str">
        <f t="shared" ca="1" si="138"/>
        <v/>
      </c>
      <c r="Z268" s="368" t="str">
        <f t="shared" ca="1" si="139"/>
        <v/>
      </c>
      <c r="AA268" s="369" t="str">
        <f t="shared" ca="1" si="140"/>
        <v/>
      </c>
      <c r="AB268" s="344"/>
      <c r="AC268" s="363" t="e">
        <f t="shared" ca="1" si="141"/>
        <v>#N/A</v>
      </c>
      <c r="AD268" s="376" t="e">
        <f t="shared" ca="1" si="142"/>
        <v>#N/A</v>
      </c>
      <c r="AE268" s="377">
        <f t="shared" ca="1" si="121"/>
        <v>229.4720214794574</v>
      </c>
      <c r="AF268" s="344"/>
      <c r="AG268" s="359">
        <f t="shared" ca="1" si="143"/>
        <v>37.762810056606071</v>
      </c>
      <c r="AH268" s="357">
        <f t="shared" ca="1" si="144"/>
        <v>47.315072950137363</v>
      </c>
    </row>
    <row r="269" spans="1:34" x14ac:dyDescent="0.25">
      <c r="A269" s="402">
        <f t="shared" ca="1" si="122"/>
        <v>0.01</v>
      </c>
      <c r="B269" s="357">
        <f t="shared" ca="1" si="123"/>
        <v>2.6499999999999875</v>
      </c>
      <c r="C269" s="342"/>
      <c r="D269" s="359">
        <f t="shared" ca="1" si="124"/>
        <v>10.722643768329794</v>
      </c>
      <c r="E269" s="360">
        <f t="shared" ca="1" si="125"/>
        <v>36.011528002702448</v>
      </c>
      <c r="F269" s="357">
        <f t="shared" ca="1" si="126"/>
        <v>37.573996839196177</v>
      </c>
      <c r="G269" s="359">
        <f t="shared" ca="1" si="127"/>
        <v>36.743104979992559</v>
      </c>
      <c r="H269" s="360">
        <f t="shared" ca="1" si="128"/>
        <v>156.91776755308339</v>
      </c>
      <c r="I269" s="357">
        <f t="shared" ca="1" si="129"/>
        <v>161.16215913611441</v>
      </c>
      <c r="J269" s="359">
        <f t="shared" ca="1" si="130"/>
        <v>50.201280570052603</v>
      </c>
      <c r="K269" s="360">
        <f t="shared" ca="1" si="131"/>
        <v>231.03939857858811</v>
      </c>
      <c r="L269" s="357">
        <f t="shared" ca="1" si="116"/>
        <v>236.43048083195373</v>
      </c>
      <c r="M269" s="359">
        <f t="shared" ca="1" si="132"/>
        <v>1.3407851422726689</v>
      </c>
      <c r="N269" s="357">
        <f t="shared" ca="1" si="133"/>
        <v>76.821329886071553</v>
      </c>
      <c r="O269" s="343"/>
      <c r="P269" s="363">
        <f t="shared" ca="1" si="134"/>
        <v>7</v>
      </c>
      <c r="Q269" s="357">
        <f t="shared" ca="1" si="135"/>
        <v>483.38297872340678</v>
      </c>
      <c r="R269" s="359">
        <f t="shared" ca="1" si="136"/>
        <v>0.24258739537657426</v>
      </c>
      <c r="S269" s="360">
        <f t="shared" ca="1" si="137"/>
        <v>8.7830679868671169</v>
      </c>
      <c r="T269" s="357">
        <f t="shared" ca="1" si="117"/>
        <v>86.161896951166426</v>
      </c>
      <c r="U269" s="364">
        <f t="shared" ca="1" si="118"/>
        <v>0</v>
      </c>
      <c r="V269" s="359">
        <f t="shared" ca="1" si="119"/>
        <v>1.1970208875399002</v>
      </c>
      <c r="W269" s="357">
        <f t="shared" ca="1" si="120"/>
        <v>70.373232602476449</v>
      </c>
      <c r="X269" s="343"/>
      <c r="Y269" s="367" t="str">
        <f t="shared" ca="1" si="138"/>
        <v/>
      </c>
      <c r="Z269" s="368" t="str">
        <f t="shared" ca="1" si="139"/>
        <v/>
      </c>
      <c r="AA269" s="369" t="str">
        <f t="shared" ca="1" si="140"/>
        <v/>
      </c>
      <c r="AB269" s="344"/>
      <c r="AC269" s="363" t="e">
        <f t="shared" ca="1" si="141"/>
        <v>#N/A</v>
      </c>
      <c r="AD269" s="376" t="e">
        <f t="shared" ca="1" si="142"/>
        <v>#N/A</v>
      </c>
      <c r="AE269" s="377">
        <f t="shared" ca="1" si="121"/>
        <v>231.03939857858811</v>
      </c>
      <c r="AF269" s="344"/>
      <c r="AG269" s="359">
        <f t="shared" ca="1" si="143"/>
        <v>37.507451708864913</v>
      </c>
      <c r="AH269" s="357">
        <f t="shared" ca="1" si="144"/>
        <v>47.059404138651672</v>
      </c>
    </row>
    <row r="270" spans="1:34" x14ac:dyDescent="0.25">
      <c r="A270" s="402">
        <f t="shared" ca="1" si="122"/>
        <v>0.01</v>
      </c>
      <c r="B270" s="357">
        <f t="shared" ca="1" si="123"/>
        <v>2.6599999999999873</v>
      </c>
      <c r="C270" s="342"/>
      <c r="D270" s="359">
        <f t="shared" ca="1" si="124"/>
        <v>10.670705824948801</v>
      </c>
      <c r="E270" s="360">
        <f t="shared" ca="1" si="125"/>
        <v>35.761089791633289</v>
      </c>
      <c r="F270" s="357">
        <f t="shared" ca="1" si="126"/>
        <v>37.319157357687686</v>
      </c>
      <c r="G270" s="359">
        <f t="shared" ca="1" si="127"/>
        <v>36.84981203824205</v>
      </c>
      <c r="H270" s="360">
        <f t="shared" ca="1" si="128"/>
        <v>157.27537845099974</v>
      </c>
      <c r="I270" s="357">
        <f t="shared" ca="1" si="129"/>
        <v>161.53468145930447</v>
      </c>
      <c r="J270" s="359">
        <f t="shared" ca="1" si="130"/>
        <v>50.569245155143776</v>
      </c>
      <c r="K270" s="360">
        <f t="shared" ca="1" si="131"/>
        <v>232.61036430860852</v>
      </c>
      <c r="L270" s="357">
        <f t="shared" ca="1" si="116"/>
        <v>238.04375677455732</v>
      </c>
      <c r="M270" s="359">
        <f t="shared" ca="1" si="132"/>
        <v>1.3406466849257068</v>
      </c>
      <c r="N270" s="357">
        <f t="shared" ca="1" si="133"/>
        <v>76.813396864448052</v>
      </c>
      <c r="O270" s="343"/>
      <c r="P270" s="363">
        <f t="shared" ca="1" si="134"/>
        <v>7</v>
      </c>
      <c r="Q270" s="357">
        <f t="shared" ca="1" si="135"/>
        <v>481.3404255319175</v>
      </c>
      <c r="R270" s="359">
        <f t="shared" ca="1" si="136"/>
        <v>0.24156233309583347</v>
      </c>
      <c r="S270" s="360">
        <f t="shared" ca="1" si="137"/>
        <v>8.7806523635361593</v>
      </c>
      <c r="T270" s="357">
        <f t="shared" ca="1" si="117"/>
        <v>86.138199686289724</v>
      </c>
      <c r="U270" s="364">
        <f t="shared" ca="1" si="118"/>
        <v>0</v>
      </c>
      <c r="V270" s="359">
        <f t="shared" ca="1" si="119"/>
        <v>1.1968328291656611</v>
      </c>
      <c r="W270" s="357">
        <f t="shared" ca="1" si="120"/>
        <v>70.687833374051351</v>
      </c>
      <c r="X270" s="343"/>
      <c r="Y270" s="367" t="str">
        <f t="shared" ca="1" si="138"/>
        <v/>
      </c>
      <c r="Z270" s="368" t="str">
        <f t="shared" ca="1" si="139"/>
        <v/>
      </c>
      <c r="AA270" s="369" t="str">
        <f t="shared" ca="1" si="140"/>
        <v/>
      </c>
      <c r="AB270" s="344"/>
      <c r="AC270" s="363" t="e">
        <f t="shared" ca="1" si="141"/>
        <v>#N/A</v>
      </c>
      <c r="AD270" s="376" t="e">
        <f t="shared" ca="1" si="142"/>
        <v>#N/A</v>
      </c>
      <c r="AE270" s="377">
        <f t="shared" ca="1" si="121"/>
        <v>232.61036430860852</v>
      </c>
      <c r="AF270" s="344"/>
      <c r="AG270" s="359">
        <f t="shared" ca="1" si="143"/>
        <v>37.252077484483337</v>
      </c>
      <c r="AH270" s="357">
        <f t="shared" ca="1" si="144"/>
        <v>46.803719805157584</v>
      </c>
    </row>
    <row r="271" spans="1:34" x14ac:dyDescent="0.25">
      <c r="A271" s="402">
        <f t="shared" ca="1" si="122"/>
        <v>0.01</v>
      </c>
      <c r="B271" s="357">
        <f t="shared" ca="1" si="123"/>
        <v>2.6699999999999871</v>
      </c>
      <c r="C271" s="342"/>
      <c r="D271" s="359">
        <f t="shared" ca="1" si="124"/>
        <v>10.61868489535633</v>
      </c>
      <c r="E271" s="360">
        <f t="shared" ca="1" si="125"/>
        <v>35.510656828206528</v>
      </c>
      <c r="F271" s="357">
        <f t="shared" ca="1" si="126"/>
        <v>37.064311908863488</v>
      </c>
      <c r="G271" s="359">
        <f t="shared" ca="1" si="127"/>
        <v>36.955998887195612</v>
      </c>
      <c r="H271" s="360">
        <f t="shared" ca="1" si="128"/>
        <v>157.63048501928179</v>
      </c>
      <c r="I271" s="357">
        <f t="shared" ca="1" si="129"/>
        <v>161.90464990593824</v>
      </c>
      <c r="J271" s="359">
        <f t="shared" ca="1" si="130"/>
        <v>50.938274209770967</v>
      </c>
      <c r="K271" s="360">
        <f t="shared" ca="1" si="131"/>
        <v>234.18489362595994</v>
      </c>
      <c r="L271" s="357">
        <f t="shared" ca="1" si="116"/>
        <v>239.66074393206742</v>
      </c>
      <c r="M271" s="359">
        <f t="shared" ca="1" si="132"/>
        <v>1.3405084622854913</v>
      </c>
      <c r="N271" s="357">
        <f t="shared" ca="1" si="133"/>
        <v>76.805477290530533</v>
      </c>
      <c r="O271" s="343"/>
      <c r="P271" s="363">
        <f t="shared" ca="1" si="134"/>
        <v>7</v>
      </c>
      <c r="Q271" s="357">
        <f t="shared" ca="1" si="135"/>
        <v>479.29787234042817</v>
      </c>
      <c r="R271" s="359">
        <f t="shared" ca="1" si="136"/>
        <v>0.24053727081509266</v>
      </c>
      <c r="S271" s="360">
        <f t="shared" ca="1" si="137"/>
        <v>8.7782469908280092</v>
      </c>
      <c r="T271" s="357">
        <f t="shared" ca="1" si="117"/>
        <v>86.114602980022781</v>
      </c>
      <c r="U271" s="364">
        <f t="shared" ca="1" si="118"/>
        <v>0</v>
      </c>
      <c r="V271" s="359">
        <f t="shared" ca="1" si="119"/>
        <v>1.1966443734996046</v>
      </c>
      <c r="W271" s="357">
        <f t="shared" ca="1" si="120"/>
        <v>71.000820046726034</v>
      </c>
      <c r="X271" s="343"/>
      <c r="Y271" s="367" t="str">
        <f t="shared" ca="1" si="138"/>
        <v/>
      </c>
      <c r="Z271" s="368" t="str">
        <f t="shared" ca="1" si="139"/>
        <v/>
      </c>
      <c r="AA271" s="369" t="str">
        <f t="shared" ca="1" si="140"/>
        <v/>
      </c>
      <c r="AB271" s="344"/>
      <c r="AC271" s="363" t="e">
        <f t="shared" ca="1" si="141"/>
        <v>#N/A</v>
      </c>
      <c r="AD271" s="376" t="e">
        <f t="shared" ca="1" si="142"/>
        <v>#N/A</v>
      </c>
      <c r="AE271" s="377">
        <f t="shared" ca="1" si="121"/>
        <v>234.18489362595994</v>
      </c>
      <c r="AF271" s="344"/>
      <c r="AG271" s="359">
        <f t="shared" ca="1" si="143"/>
        <v>36.996689999927725</v>
      </c>
      <c r="AH271" s="357">
        <f t="shared" ca="1" si="144"/>
        <v>46.548022560007119</v>
      </c>
    </row>
    <row r="272" spans="1:34" x14ac:dyDescent="0.25">
      <c r="A272" s="402">
        <f t="shared" ca="1" si="122"/>
        <v>0.01</v>
      </c>
      <c r="B272" s="357">
        <f t="shared" ca="1" si="123"/>
        <v>2.6799999999999868</v>
      </c>
      <c r="C272" s="342"/>
      <c r="D272" s="359">
        <f t="shared" ca="1" si="124"/>
        <v>10.566581890168038</v>
      </c>
      <c r="E272" s="360">
        <f t="shared" ca="1" si="125"/>
        <v>35.260231586142922</v>
      </c>
      <c r="F272" s="357">
        <f t="shared" ca="1" si="126"/>
        <v>36.809463244525283</v>
      </c>
      <c r="G272" s="359">
        <f t="shared" ca="1" si="127"/>
        <v>37.061664706097289</v>
      </c>
      <c r="H272" s="360">
        <f t="shared" ca="1" si="128"/>
        <v>157.98308733514321</v>
      </c>
      <c r="I272" s="357">
        <f t="shared" ca="1" si="129"/>
        <v>162.27206436947384</v>
      </c>
      <c r="J272" s="359">
        <f t="shared" ca="1" si="130"/>
        <v>51.30836252773743</v>
      </c>
      <c r="K272" s="360">
        <f t="shared" ca="1" si="131"/>
        <v>235.76296148773207</v>
      </c>
      <c r="L272" s="357">
        <f t="shared" ca="1" si="116"/>
        <v>241.28141676213602</v>
      </c>
      <c r="M272" s="359">
        <f t="shared" ca="1" si="132"/>
        <v>1.3403704712508042</v>
      </c>
      <c r="N272" s="357">
        <f t="shared" ca="1" si="133"/>
        <v>76.797570986632323</v>
      </c>
      <c r="O272" s="343"/>
      <c r="P272" s="363">
        <f t="shared" ca="1" si="134"/>
        <v>7</v>
      </c>
      <c r="Q272" s="357">
        <f t="shared" ca="1" si="135"/>
        <v>477.25531914893884</v>
      </c>
      <c r="R272" s="359">
        <f t="shared" ca="1" si="136"/>
        <v>0.23951220853435182</v>
      </c>
      <c r="S272" s="360">
        <f t="shared" ca="1" si="137"/>
        <v>8.7758518687426665</v>
      </c>
      <c r="T272" s="357">
        <f t="shared" ca="1" si="117"/>
        <v>86.091106832365568</v>
      </c>
      <c r="U272" s="364">
        <f t="shared" ca="1" si="118"/>
        <v>0</v>
      </c>
      <c r="V272" s="359">
        <f t="shared" ca="1" si="119"/>
        <v>1.1964555237307208</v>
      </c>
      <c r="W272" s="357">
        <f t="shared" ca="1" si="120"/>
        <v>71.312177744257895</v>
      </c>
      <c r="X272" s="343"/>
      <c r="Y272" s="367" t="str">
        <f t="shared" ca="1" si="138"/>
        <v/>
      </c>
      <c r="Z272" s="368" t="str">
        <f t="shared" ca="1" si="139"/>
        <v/>
      </c>
      <c r="AA272" s="369" t="str">
        <f t="shared" ca="1" si="140"/>
        <v/>
      </c>
      <c r="AB272" s="344"/>
      <c r="AC272" s="363" t="e">
        <f t="shared" ca="1" si="141"/>
        <v>#N/A</v>
      </c>
      <c r="AD272" s="376" t="e">
        <f t="shared" ca="1" si="142"/>
        <v>#N/A</v>
      </c>
      <c r="AE272" s="377">
        <f t="shared" ca="1" si="121"/>
        <v>235.76296148773207</v>
      </c>
      <c r="AF272" s="344"/>
      <c r="AG272" s="359">
        <f t="shared" ca="1" si="143"/>
        <v>36.741291858179309</v>
      </c>
      <c r="AH272" s="357">
        <f t="shared" ca="1" si="144"/>
        <v>46.29231500011835</v>
      </c>
    </row>
    <row r="273" spans="1:34" x14ac:dyDescent="0.25">
      <c r="A273" s="402">
        <f t="shared" ca="1" si="122"/>
        <v>0.01</v>
      </c>
      <c r="B273" s="357">
        <f t="shared" ca="1" si="123"/>
        <v>2.6899999999999866</v>
      </c>
      <c r="C273" s="342"/>
      <c r="D273" s="359">
        <f t="shared" ca="1" si="124"/>
        <v>10.514397713804605</v>
      </c>
      <c r="E273" s="360">
        <f t="shared" ca="1" si="125"/>
        <v>35.009816526566972</v>
      </c>
      <c r="F273" s="357">
        <f t="shared" ca="1" si="126"/>
        <v>36.554614106948819</v>
      </c>
      <c r="G273" s="359">
        <f t="shared" ca="1" si="127"/>
        <v>37.166808683235338</v>
      </c>
      <c r="H273" s="360">
        <f t="shared" ca="1" si="128"/>
        <v>158.33318550040889</v>
      </c>
      <c r="I273" s="357">
        <f t="shared" ca="1" si="129"/>
        <v>162.6369247692636</v>
      </c>
      <c r="J273" s="359">
        <f t="shared" ca="1" si="130"/>
        <v>51.679504894684094</v>
      </c>
      <c r="K273" s="360">
        <f t="shared" ca="1" si="131"/>
        <v>237.34454285190984</v>
      </c>
      <c r="L273" s="357">
        <f t="shared" ca="1" si="116"/>
        <v>242.90574972145419</v>
      </c>
      <c r="M273" s="359">
        <f t="shared" ca="1" si="132"/>
        <v>1.3402327087504544</v>
      </c>
      <c r="N273" s="357">
        <f t="shared" ca="1" si="133"/>
        <v>76.789677776787116</v>
      </c>
      <c r="O273" s="343"/>
      <c r="P273" s="363">
        <f t="shared" ca="1" si="134"/>
        <v>7</v>
      </c>
      <c r="Q273" s="357">
        <f t="shared" ca="1" si="135"/>
        <v>475.21276595744951</v>
      </c>
      <c r="R273" s="359">
        <f t="shared" ca="1" si="136"/>
        <v>0.238487146253611</v>
      </c>
      <c r="S273" s="360">
        <f t="shared" ca="1" si="137"/>
        <v>8.7734669972801296</v>
      </c>
      <c r="T273" s="357">
        <f t="shared" ca="1" si="117"/>
        <v>86.067711243318072</v>
      </c>
      <c r="U273" s="364">
        <f t="shared" ca="1" si="118"/>
        <v>0</v>
      </c>
      <c r="V273" s="359">
        <f t="shared" ca="1" si="119"/>
        <v>1.1962662830463811</v>
      </c>
      <c r="W273" s="357">
        <f t="shared" ca="1" si="120"/>
        <v>71.621891734396399</v>
      </c>
      <c r="X273" s="343"/>
      <c r="Y273" s="367" t="str">
        <f t="shared" ca="1" si="138"/>
        <v/>
      </c>
      <c r="Z273" s="368" t="str">
        <f t="shared" ca="1" si="139"/>
        <v/>
      </c>
      <c r="AA273" s="369" t="str">
        <f t="shared" ca="1" si="140"/>
        <v/>
      </c>
      <c r="AB273" s="344"/>
      <c r="AC273" s="363" t="e">
        <f t="shared" ca="1" si="141"/>
        <v>#N/A</v>
      </c>
      <c r="AD273" s="376" t="e">
        <f t="shared" ca="1" si="142"/>
        <v>#N/A</v>
      </c>
      <c r="AE273" s="377">
        <f t="shared" ca="1" si="121"/>
        <v>237.34454285190984</v>
      </c>
      <c r="AF273" s="344"/>
      <c r="AG273" s="359">
        <f t="shared" ca="1" si="143"/>
        <v>36.485885648678092</v>
      </c>
      <c r="AH273" s="357">
        <f t="shared" ca="1" si="144"/>
        <v>46.036599708918402</v>
      </c>
    </row>
    <row r="274" spans="1:34" x14ac:dyDescent="0.25">
      <c r="A274" s="402">
        <f t="shared" ca="1" si="122"/>
        <v>0.01</v>
      </c>
      <c r="B274" s="357">
        <f t="shared" ca="1" si="123"/>
        <v>2.6999999999999864</v>
      </c>
      <c r="C274" s="342"/>
      <c r="D274" s="359">
        <f t="shared" ca="1" si="124"/>
        <v>10.462133264526116</v>
      </c>
      <c r="E274" s="360">
        <f t="shared" ca="1" si="125"/>
        <v>34.759414097944941</v>
      </c>
      <c r="F274" s="357">
        <f t="shared" ca="1" si="126"/>
        <v>36.299767228966047</v>
      </c>
      <c r="G274" s="359">
        <f t="shared" ca="1" si="127"/>
        <v>37.271430015880597</v>
      </c>
      <c r="H274" s="360">
        <f t="shared" ca="1" si="128"/>
        <v>158.68077964138834</v>
      </c>
      <c r="I274" s="357">
        <f t="shared" ca="1" si="129"/>
        <v>162.99923105041793</v>
      </c>
      <c r="J274" s="359">
        <f t="shared" ca="1" si="130"/>
        <v>52.051696088179675</v>
      </c>
      <c r="K274" s="360">
        <f t="shared" ca="1" si="131"/>
        <v>238.92961267761882</v>
      </c>
      <c r="L274" s="357">
        <f t="shared" ca="1" si="116"/>
        <v>244.53371726601051</v>
      </c>
      <c r="M274" s="359">
        <f t="shared" ca="1" si="132"/>
        <v>1.3400951717427609</v>
      </c>
      <c r="N274" s="357">
        <f t="shared" ca="1" si="133"/>
        <v>76.781797486719412</v>
      </c>
      <c r="O274" s="343"/>
      <c r="P274" s="363">
        <f t="shared" ca="1" si="134"/>
        <v>7</v>
      </c>
      <c r="Q274" s="357">
        <f t="shared" ca="1" si="135"/>
        <v>473.17021276596023</v>
      </c>
      <c r="R274" s="359">
        <f t="shared" ca="1" si="136"/>
        <v>0.23746208397287022</v>
      </c>
      <c r="S274" s="360">
        <f t="shared" ca="1" si="137"/>
        <v>8.7710923764404001</v>
      </c>
      <c r="T274" s="357">
        <f t="shared" ca="1" si="117"/>
        <v>86.044416212880336</v>
      </c>
      <c r="U274" s="364">
        <f t="shared" ca="1" si="118"/>
        <v>0</v>
      </c>
      <c r="V274" s="359">
        <f t="shared" ca="1" si="119"/>
        <v>1.1960766546322945</v>
      </c>
      <c r="W274" s="357">
        <f t="shared" ca="1" si="120"/>
        <v>71.929947428935776</v>
      </c>
      <c r="X274" s="343"/>
      <c r="Y274" s="367" t="str">
        <f t="shared" ca="1" si="138"/>
        <v/>
      </c>
      <c r="Z274" s="368" t="str">
        <f t="shared" ca="1" si="139"/>
        <v/>
      </c>
      <c r="AA274" s="369" t="str">
        <f t="shared" ca="1" si="140"/>
        <v/>
      </c>
      <c r="AB274" s="344"/>
      <c r="AC274" s="363" t="e">
        <f t="shared" ca="1" si="141"/>
        <v>#N/A</v>
      </c>
      <c r="AD274" s="376" t="e">
        <f t="shared" ca="1" si="142"/>
        <v>#N/A</v>
      </c>
      <c r="AE274" s="377">
        <f t="shared" ca="1" si="121"/>
        <v>238.92961267761882</v>
      </c>
      <c r="AF274" s="344"/>
      <c r="AG274" s="359">
        <f t="shared" ca="1" si="143"/>
        <v>36.230473947268052</v>
      </c>
      <c r="AH274" s="357">
        <f t="shared" ca="1" si="144"/>
        <v>45.78087925628774</v>
      </c>
    </row>
    <row r="275" spans="1:34" x14ac:dyDescent="0.25">
      <c r="A275" s="402">
        <f t="shared" ca="1" si="122"/>
        <v>0.01</v>
      </c>
      <c r="B275" s="357">
        <f t="shared" ca="1" si="123"/>
        <v>2.7099999999999862</v>
      </c>
      <c r="C275" s="342"/>
      <c r="D275" s="359">
        <f t="shared" ca="1" si="124"/>
        <v>10.409789434465468</v>
      </c>
      <c r="E275" s="360">
        <f t="shared" ca="1" si="125"/>
        <v>34.509026736024232</v>
      </c>
      <c r="F275" s="357">
        <f t="shared" ca="1" si="126"/>
        <v>36.044925334054227</v>
      </c>
      <c r="G275" s="359">
        <f t="shared" ca="1" si="127"/>
        <v>37.375527910225252</v>
      </c>
      <c r="H275" s="360">
        <f t="shared" ca="1" si="128"/>
        <v>159.02586990874858</v>
      </c>
      <c r="I275" s="357">
        <f t="shared" ca="1" si="129"/>
        <v>163.35898318366901</v>
      </c>
      <c r="J275" s="359">
        <f t="shared" ca="1" si="130"/>
        <v>52.424930877810205</v>
      </c>
      <c r="K275" s="360">
        <f t="shared" ca="1" si="131"/>
        <v>240.51814592536951</v>
      </c>
      <c r="L275" s="357">
        <f t="shared" ca="1" si="116"/>
        <v>246.16529385134803</v>
      </c>
      <c r="M275" s="359">
        <f t="shared" ca="1" si="132"/>
        <v>1.3399578572150421</v>
      </c>
      <c r="N275" s="357">
        <f t="shared" ca="1" si="133"/>
        <v>76.773929943815304</v>
      </c>
      <c r="O275" s="343"/>
      <c r="P275" s="363">
        <f t="shared" ca="1" si="134"/>
        <v>7</v>
      </c>
      <c r="Q275" s="357">
        <f t="shared" ca="1" si="135"/>
        <v>471.1276595744709</v>
      </c>
      <c r="R275" s="359">
        <f t="shared" ca="1" si="136"/>
        <v>0.23643702169212941</v>
      </c>
      <c r="S275" s="360">
        <f t="shared" ca="1" si="137"/>
        <v>8.768728006223478</v>
      </c>
      <c r="T275" s="357">
        <f t="shared" ca="1" si="117"/>
        <v>86.021221741052329</v>
      </c>
      <c r="U275" s="364">
        <f t="shared" ca="1" si="118"/>
        <v>0</v>
      </c>
      <c r="V275" s="359">
        <f t="shared" ca="1" si="119"/>
        <v>1.1958866416724723</v>
      </c>
      <c r="W275" s="357">
        <f t="shared" ca="1" si="120"/>
        <v>72.236330383759636</v>
      </c>
      <c r="X275" s="343"/>
      <c r="Y275" s="367" t="str">
        <f t="shared" ca="1" si="138"/>
        <v/>
      </c>
      <c r="Z275" s="368" t="str">
        <f t="shared" ca="1" si="139"/>
        <v/>
      </c>
      <c r="AA275" s="369" t="str">
        <f t="shared" ca="1" si="140"/>
        <v/>
      </c>
      <c r="AB275" s="344"/>
      <c r="AC275" s="363" t="e">
        <f t="shared" ca="1" si="141"/>
        <v>#N/A</v>
      </c>
      <c r="AD275" s="376" t="e">
        <f t="shared" ca="1" si="142"/>
        <v>#N/A</v>
      </c>
      <c r="AE275" s="377">
        <f t="shared" ca="1" si="121"/>
        <v>240.51814592536951</v>
      </c>
      <c r="AF275" s="344"/>
      <c r="AG275" s="359">
        <f t="shared" ca="1" si="143"/>
        <v>35.97505931614355</v>
      </c>
      <c r="AH275" s="357">
        <f t="shared" ca="1" si="144"/>
        <v>45.525156198505677</v>
      </c>
    </row>
    <row r="276" spans="1:34" x14ac:dyDescent="0.25">
      <c r="A276" s="402">
        <f t="shared" ca="1" si="122"/>
        <v>0.01</v>
      </c>
      <c r="B276" s="357">
        <f t="shared" ca="1" si="123"/>
        <v>2.719999999999986</v>
      </c>
      <c r="C276" s="342"/>
      <c r="D276" s="359">
        <f t="shared" ca="1" si="124"/>
        <v>10.357367109661181</v>
      </c>
      <c r="E276" s="360">
        <f t="shared" ca="1" si="125"/>
        <v>34.258656863774142</v>
      </c>
      <c r="F276" s="357">
        <f t="shared" ca="1" si="126"/>
        <v>35.790091136432025</v>
      </c>
      <c r="G276" s="359">
        <f t="shared" ca="1" si="127"/>
        <v>37.479101581321864</v>
      </c>
      <c r="H276" s="360">
        <f t="shared" ca="1" si="128"/>
        <v>159.3684564773863</v>
      </c>
      <c r="I276" s="357">
        <f t="shared" ca="1" si="129"/>
        <v>163.71618116523368</v>
      </c>
      <c r="J276" s="359">
        <f t="shared" ca="1" si="130"/>
        <v>52.79920402526794</v>
      </c>
      <c r="K276" s="360">
        <f t="shared" ca="1" si="131"/>
        <v>242.11011755730019</v>
      </c>
      <c r="L276" s="357">
        <f t="shared" ca="1" si="116"/>
        <v>247.80045393281986</v>
      </c>
      <c r="M276" s="359">
        <f t="shared" ca="1" si="132"/>
        <v>1.3398207621831189</v>
      </c>
      <c r="N276" s="357">
        <f t="shared" ca="1" si="133"/>
        <v>76.766074977093879</v>
      </c>
      <c r="O276" s="343"/>
      <c r="P276" s="363">
        <f t="shared" ca="1" si="134"/>
        <v>7</v>
      </c>
      <c r="Q276" s="357">
        <f t="shared" ca="1" si="135"/>
        <v>469.08510638298156</v>
      </c>
      <c r="R276" s="359">
        <f t="shared" ca="1" si="136"/>
        <v>0.23541195941138857</v>
      </c>
      <c r="S276" s="360">
        <f t="shared" ca="1" si="137"/>
        <v>8.7663738866293635</v>
      </c>
      <c r="T276" s="357">
        <f t="shared" ca="1" si="117"/>
        <v>85.998127827834054</v>
      </c>
      <c r="U276" s="364">
        <f t="shared" ca="1" si="118"/>
        <v>0</v>
      </c>
      <c r="V276" s="359">
        <f t="shared" ca="1" si="119"/>
        <v>1.1956962473491888</v>
      </c>
      <c r="W276" s="357">
        <f t="shared" ca="1" si="120"/>
        <v>72.541026298876076</v>
      </c>
      <c r="X276" s="343"/>
      <c r="Y276" s="367" t="str">
        <f t="shared" ca="1" si="138"/>
        <v/>
      </c>
      <c r="Z276" s="368" t="str">
        <f t="shared" ca="1" si="139"/>
        <v/>
      </c>
      <c r="AA276" s="369" t="str">
        <f t="shared" ca="1" si="140"/>
        <v/>
      </c>
      <c r="AB276" s="344"/>
      <c r="AC276" s="363" t="e">
        <f t="shared" ca="1" si="141"/>
        <v>#N/A</v>
      </c>
      <c r="AD276" s="376" t="e">
        <f t="shared" ca="1" si="142"/>
        <v>#N/A</v>
      </c>
      <c r="AE276" s="377">
        <f t="shared" ca="1" si="121"/>
        <v>242.11011755730019</v>
      </c>
      <c r="AF276" s="344"/>
      <c r="AG276" s="359">
        <f t="shared" ca="1" si="143"/>
        <v>35.719644303796883</v>
      </c>
      <c r="AH276" s="357">
        <f t="shared" ca="1" si="144"/>
        <v>45.269433078197025</v>
      </c>
    </row>
    <row r="277" spans="1:34" x14ac:dyDescent="0.25">
      <c r="A277" s="402">
        <f t="shared" ca="1" si="122"/>
        <v>0.01</v>
      </c>
      <c r="B277" s="357">
        <f t="shared" ca="1" si="123"/>
        <v>2.7299999999999858</v>
      </c>
      <c r="C277" s="342"/>
      <c r="D277" s="359">
        <f t="shared" ca="1" si="124"/>
        <v>10.304867170089221</v>
      </c>
      <c r="E277" s="360">
        <f t="shared" ca="1" si="125"/>
        <v>34.008306891327798</v>
      </c>
      <c r="F277" s="357">
        <f t="shared" ca="1" si="126"/>
        <v>35.535267341162871</v>
      </c>
      <c r="G277" s="359">
        <f t="shared" ca="1" si="127"/>
        <v>37.582150253022753</v>
      </c>
      <c r="H277" s="360">
        <f t="shared" ca="1" si="128"/>
        <v>159.70853954629959</v>
      </c>
      <c r="I277" s="357">
        <f t="shared" ca="1" si="129"/>
        <v>164.070825016676</v>
      </c>
      <c r="J277" s="359">
        <f t="shared" ca="1" si="130"/>
        <v>53.174510284439663</v>
      </c>
      <c r="K277" s="360">
        <f t="shared" ca="1" si="131"/>
        <v>243.70550253741862</v>
      </c>
      <c r="L277" s="357">
        <f t="shared" ca="1" si="116"/>
        <v>249.43917196584368</v>
      </c>
      <c r="M277" s="359">
        <f t="shared" ca="1" si="132"/>
        <v>1.3396838836908231</v>
      </c>
      <c r="N277" s="357">
        <f t="shared" ca="1" si="133"/>
        <v>76.758232417179229</v>
      </c>
      <c r="O277" s="343"/>
      <c r="P277" s="363">
        <f t="shared" ca="1" si="134"/>
        <v>7</v>
      </c>
      <c r="Q277" s="357">
        <f t="shared" ca="1" si="135"/>
        <v>467.04255319149229</v>
      </c>
      <c r="R277" s="359">
        <f t="shared" ca="1" si="136"/>
        <v>0.23438689713064778</v>
      </c>
      <c r="S277" s="360">
        <f t="shared" ca="1" si="137"/>
        <v>8.7640300176580563</v>
      </c>
      <c r="T277" s="357">
        <f t="shared" ca="1" si="117"/>
        <v>85.975134473225538</v>
      </c>
      <c r="U277" s="364">
        <f t="shared" ca="1" si="118"/>
        <v>0</v>
      </c>
      <c r="V277" s="359">
        <f t="shared" ca="1" si="119"/>
        <v>1.1955054748429417</v>
      </c>
      <c r="W277" s="357">
        <f t="shared" ca="1" si="120"/>
        <v>72.844021018443939</v>
      </c>
      <c r="X277" s="343"/>
      <c r="Y277" s="367" t="str">
        <f t="shared" ca="1" si="138"/>
        <v/>
      </c>
      <c r="Z277" s="368" t="str">
        <f t="shared" ca="1" si="139"/>
        <v/>
      </c>
      <c r="AA277" s="369" t="str">
        <f t="shared" ca="1" si="140"/>
        <v/>
      </c>
      <c r="AB277" s="344"/>
      <c r="AC277" s="363" t="e">
        <f t="shared" ca="1" si="141"/>
        <v>#N/A</v>
      </c>
      <c r="AD277" s="376" t="e">
        <f t="shared" ca="1" si="142"/>
        <v>#N/A</v>
      </c>
      <c r="AE277" s="377">
        <f t="shared" ca="1" si="121"/>
        <v>243.70550253741862</v>
      </c>
      <c r="AF277" s="344"/>
      <c r="AG277" s="359">
        <f t="shared" ca="1" si="143"/>
        <v>35.464231444966877</v>
      </c>
      <c r="AH277" s="357">
        <f t="shared" ca="1" si="144"/>
        <v>45.013712424279873</v>
      </c>
    </row>
    <row r="278" spans="1:34" x14ac:dyDescent="0.25">
      <c r="A278" s="402">
        <f t="shared" ca="1" si="122"/>
        <v>0.01</v>
      </c>
      <c r="B278" s="357">
        <f t="shared" ca="1" si="123"/>
        <v>2.7399999999999856</v>
      </c>
      <c r="C278" s="342"/>
      <c r="D278" s="359">
        <f t="shared" ca="1" si="124"/>
        <v>10.252290489694261</v>
      </c>
      <c r="E278" s="360">
        <f t="shared" ca="1" si="125"/>
        <v>33.757979215925573</v>
      </c>
      <c r="F278" s="357">
        <f t="shared" ca="1" si="126"/>
        <v>35.280456644266074</v>
      </c>
      <c r="G278" s="359">
        <f t="shared" ca="1" si="127"/>
        <v>37.684673157919697</v>
      </c>
      <c r="H278" s="360">
        <f t="shared" ca="1" si="128"/>
        <v>160.04611933845885</v>
      </c>
      <c r="I278" s="357">
        <f t="shared" ca="1" si="129"/>
        <v>164.42291478476912</v>
      </c>
      <c r="J278" s="359">
        <f t="shared" ca="1" si="130"/>
        <v>53.550844401494373</v>
      </c>
      <c r="K278" s="360">
        <f t="shared" ca="1" si="131"/>
        <v>245.3042758318424</v>
      </c>
      <c r="L278" s="357">
        <f t="shared" ca="1" si="116"/>
        <v>251.0814224061543</v>
      </c>
      <c r="M278" s="359">
        <f t="shared" ca="1" si="132"/>
        <v>1.3395472188095174</v>
      </c>
      <c r="N278" s="357">
        <f t="shared" ca="1" si="133"/>
        <v>76.750402096272751</v>
      </c>
      <c r="O278" s="343"/>
      <c r="P278" s="363">
        <f t="shared" ca="1" si="134"/>
        <v>7</v>
      </c>
      <c r="Q278" s="357">
        <f t="shared" ca="1" si="135"/>
        <v>465.00000000000296</v>
      </c>
      <c r="R278" s="359">
        <f t="shared" ca="1" si="136"/>
        <v>0.23336183484990697</v>
      </c>
      <c r="S278" s="360">
        <f t="shared" ca="1" si="137"/>
        <v>8.7616963993095567</v>
      </c>
      <c r="T278" s="357">
        <f t="shared" ca="1" si="117"/>
        <v>85.952241677226752</v>
      </c>
      <c r="U278" s="364">
        <f t="shared" ca="1" si="118"/>
        <v>0</v>
      </c>
      <c r="V278" s="359">
        <f t="shared" ca="1" si="119"/>
        <v>1.1953143273324147</v>
      </c>
      <c r="W278" s="357">
        <f t="shared" ca="1" si="120"/>
        <v>73.145300530790337</v>
      </c>
      <c r="X278" s="343"/>
      <c r="Y278" s="367" t="str">
        <f t="shared" ca="1" si="138"/>
        <v/>
      </c>
      <c r="Z278" s="368" t="str">
        <f t="shared" ca="1" si="139"/>
        <v/>
      </c>
      <c r="AA278" s="369" t="str">
        <f t="shared" ca="1" si="140"/>
        <v/>
      </c>
      <c r="AB278" s="344"/>
      <c r="AC278" s="363" t="e">
        <f t="shared" ca="1" si="141"/>
        <v>#N/A</v>
      </c>
      <c r="AD278" s="376" t="e">
        <f t="shared" ca="1" si="142"/>
        <v>#N/A</v>
      </c>
      <c r="AE278" s="377">
        <f t="shared" ca="1" si="121"/>
        <v>245.3042758318424</v>
      </c>
      <c r="AF278" s="344"/>
      <c r="AG278" s="359">
        <f t="shared" ca="1" si="143"/>
        <v>35.208823260588787</v>
      </c>
      <c r="AH278" s="357">
        <f t="shared" ca="1" si="144"/>
        <v>44.757996751914604</v>
      </c>
    </row>
    <row r="279" spans="1:34" x14ac:dyDescent="0.25">
      <c r="A279" s="402">
        <f t="shared" ca="1" si="122"/>
        <v>0.01</v>
      </c>
      <c r="B279" s="357">
        <f t="shared" ca="1" si="123"/>
        <v>2.7499999999999853</v>
      </c>
      <c r="C279" s="342"/>
      <c r="D279" s="359">
        <f t="shared" ca="1" si="124"/>
        <v>10.199637936420155</v>
      </c>
      <c r="E279" s="360">
        <f t="shared" ca="1" si="125"/>
        <v>33.507676221859704</v>
      </c>
      <c r="F279" s="357">
        <f t="shared" ca="1" si="126"/>
        <v>35.025661732835871</v>
      </c>
      <c r="G279" s="359">
        <f t="shared" ca="1" si="127"/>
        <v>37.786669537283899</v>
      </c>
      <c r="H279" s="360">
        <f t="shared" ca="1" si="128"/>
        <v>160.38119610067744</v>
      </c>
      <c r="I279" s="357">
        <f t="shared" ca="1" si="129"/>
        <v>164.77245054135673</v>
      </c>
      <c r="J279" s="359">
        <f t="shared" ca="1" si="130"/>
        <v>53.928201114970392</v>
      </c>
      <c r="K279" s="360">
        <f t="shared" ca="1" si="131"/>
        <v>246.9064124090381</v>
      </c>
      <c r="L279" s="357">
        <f t="shared" ca="1" si="116"/>
        <v>252.72717971005551</v>
      </c>
      <c r="M279" s="359">
        <f t="shared" ca="1" si="132"/>
        <v>1.3394107646376234</v>
      </c>
      <c r="N279" s="357">
        <f t="shared" ca="1" si="133"/>
        <v>76.742583848126273</v>
      </c>
      <c r="O279" s="343"/>
      <c r="P279" s="363">
        <f t="shared" ca="1" si="134"/>
        <v>7</v>
      </c>
      <c r="Q279" s="357">
        <f t="shared" ca="1" si="135"/>
        <v>462.95744680851362</v>
      </c>
      <c r="R279" s="359">
        <f t="shared" ca="1" si="136"/>
        <v>0.23233677256916616</v>
      </c>
      <c r="S279" s="360">
        <f t="shared" ca="1" si="137"/>
        <v>8.7593730315838645</v>
      </c>
      <c r="T279" s="357">
        <f t="shared" ca="1" si="117"/>
        <v>85.929449439837711</v>
      </c>
      <c r="U279" s="364">
        <f t="shared" ca="1" si="118"/>
        <v>0</v>
      </c>
      <c r="V279" s="359">
        <f t="shared" ca="1" si="119"/>
        <v>1.1951228079944407</v>
      </c>
      <c r="W279" s="357">
        <f t="shared" ca="1" si="120"/>
        <v>73.444850968419303</v>
      </c>
      <c r="X279" s="343"/>
      <c r="Y279" s="367" t="str">
        <f t="shared" ca="1" si="138"/>
        <v/>
      </c>
      <c r="Z279" s="368" t="str">
        <f t="shared" ca="1" si="139"/>
        <v/>
      </c>
      <c r="AA279" s="369" t="str">
        <f t="shared" ca="1" si="140"/>
        <v/>
      </c>
      <c r="AB279" s="344"/>
      <c r="AC279" s="363" t="e">
        <f t="shared" ca="1" si="141"/>
        <v>#N/A</v>
      </c>
      <c r="AD279" s="376" t="e">
        <f t="shared" ca="1" si="142"/>
        <v>#N/A</v>
      </c>
      <c r="AE279" s="377">
        <f t="shared" ca="1" si="121"/>
        <v>246.9064124090381</v>
      </c>
      <c r="AF279" s="344"/>
      <c r="AG279" s="359">
        <f t="shared" ca="1" si="143"/>
        <v>34.953422257745316</v>
      </c>
      <c r="AH279" s="357">
        <f t="shared" ca="1" si="144"/>
        <v>44.502288562454076</v>
      </c>
    </row>
    <row r="280" spans="1:34" x14ac:dyDescent="0.25">
      <c r="A280" s="402">
        <f t="shared" ca="1" si="122"/>
        <v>0.01</v>
      </c>
      <c r="B280" s="357">
        <f t="shared" ca="1" si="123"/>
        <v>2.7599999999999851</v>
      </c>
      <c r="C280" s="342"/>
      <c r="D280" s="359">
        <f t="shared" ca="1" si="124"/>
        <v>10.146910372239672</v>
      </c>
      <c r="E280" s="360">
        <f t="shared" ca="1" si="125"/>
        <v>33.257400280420278</v>
      </c>
      <c r="F280" s="357">
        <f t="shared" ca="1" si="126"/>
        <v>34.770885285168738</v>
      </c>
      <c r="G280" s="359">
        <f t="shared" ca="1" si="127"/>
        <v>37.888138641006293</v>
      </c>
      <c r="H280" s="360">
        <f t="shared" ca="1" si="128"/>
        <v>160.71377010348164</v>
      </c>
      <c r="I280" s="357">
        <f t="shared" ca="1" si="129"/>
        <v>165.11943238321425</v>
      </c>
      <c r="J280" s="359">
        <f t="shared" ca="1" si="130"/>
        <v>54.306575155861843</v>
      </c>
      <c r="K280" s="360">
        <f t="shared" ca="1" si="131"/>
        <v>248.51188724005888</v>
      </c>
      <c r="L280" s="357">
        <f t="shared" ca="1" si="116"/>
        <v>254.37641833466995</v>
      </c>
      <c r="M280" s="359">
        <f t="shared" ca="1" si="132"/>
        <v>1.3392745183001586</v>
      </c>
      <c r="N280" s="357">
        <f t="shared" ca="1" si="133"/>
        <v>76.734777508015426</v>
      </c>
      <c r="O280" s="343"/>
      <c r="P280" s="363">
        <f t="shared" ca="1" si="134"/>
        <v>7</v>
      </c>
      <c r="Q280" s="357">
        <f t="shared" ca="1" si="135"/>
        <v>460.91489361702429</v>
      </c>
      <c r="R280" s="359">
        <f t="shared" ca="1" si="136"/>
        <v>0.23131171028842534</v>
      </c>
      <c r="S280" s="360">
        <f t="shared" ca="1" si="137"/>
        <v>8.7570599144809798</v>
      </c>
      <c r="T280" s="357">
        <f t="shared" ca="1" si="117"/>
        <v>85.906757761058415</v>
      </c>
      <c r="U280" s="364">
        <f t="shared" ca="1" si="118"/>
        <v>0</v>
      </c>
      <c r="V280" s="359">
        <f t="shared" ca="1" si="119"/>
        <v>1.1949309200039622</v>
      </c>
      <c r="W280" s="357">
        <f t="shared" ca="1" si="120"/>
        <v>73.742658608011922</v>
      </c>
      <c r="X280" s="343"/>
      <c r="Y280" s="367" t="str">
        <f t="shared" ca="1" si="138"/>
        <v/>
      </c>
      <c r="Z280" s="368" t="str">
        <f t="shared" ca="1" si="139"/>
        <v/>
      </c>
      <c r="AA280" s="369" t="str">
        <f t="shared" ca="1" si="140"/>
        <v/>
      </c>
      <c r="AB280" s="344"/>
      <c r="AC280" s="363" t="e">
        <f t="shared" ca="1" si="141"/>
        <v>#N/A</v>
      </c>
      <c r="AD280" s="376" t="e">
        <f t="shared" ca="1" si="142"/>
        <v>#N/A</v>
      </c>
      <c r="AE280" s="377">
        <f t="shared" ca="1" si="121"/>
        <v>248.51188724005888</v>
      </c>
      <c r="AF280" s="344"/>
      <c r="AG280" s="359">
        <f t="shared" ca="1" si="143"/>
        <v>34.698030929618731</v>
      </c>
      <c r="AH280" s="357">
        <f t="shared" ca="1" si="144"/>
        <v>44.246590343394935</v>
      </c>
    </row>
    <row r="281" spans="1:34" x14ac:dyDescent="0.25">
      <c r="A281" s="402">
        <f t="shared" ca="1" si="122"/>
        <v>0.01</v>
      </c>
      <c r="B281" s="357">
        <f t="shared" ca="1" si="123"/>
        <v>2.7699999999999849</v>
      </c>
      <c r="C281" s="342"/>
      <c r="D281" s="359">
        <f t="shared" ca="1" si="124"/>
        <v>10.094108653183605</v>
      </c>
      <c r="E281" s="360">
        <f t="shared" ca="1" si="125"/>
        <v>33.00715374984248</v>
      </c>
      <c r="F281" s="357">
        <f t="shared" ca="1" si="126"/>
        <v>34.51612997089935</v>
      </c>
      <c r="G281" s="359">
        <f t="shared" ca="1" si="127"/>
        <v>37.989079727538126</v>
      </c>
      <c r="H281" s="360">
        <f t="shared" ca="1" si="128"/>
        <v>161.04384164098005</v>
      </c>
      <c r="I281" s="357">
        <f t="shared" ca="1" si="129"/>
        <v>165.46386043190915</v>
      </c>
      <c r="J281" s="359">
        <f t="shared" ca="1" si="130"/>
        <v>54.685961247704569</v>
      </c>
      <c r="K281" s="360">
        <f t="shared" ca="1" si="131"/>
        <v>250.12067529878118</v>
      </c>
      <c r="L281" s="357">
        <f t="shared" ca="1" si="116"/>
        <v>256.02911273818796</v>
      </c>
      <c r="M281" s="359">
        <f t="shared" ca="1" si="132"/>
        <v>1.3391384769482817</v>
      </c>
      <c r="N281" s="357">
        <f t="shared" ca="1" si="133"/>
        <v>76.726982912713623</v>
      </c>
      <c r="O281" s="343"/>
      <c r="P281" s="363">
        <f t="shared" ca="1" si="134"/>
        <v>7</v>
      </c>
      <c r="Q281" s="357">
        <f t="shared" ca="1" si="135"/>
        <v>458.87234042553501</v>
      </c>
      <c r="R281" s="359">
        <f t="shared" ca="1" si="136"/>
        <v>0.23028664800768453</v>
      </c>
      <c r="S281" s="360">
        <f t="shared" ca="1" si="137"/>
        <v>8.7547570480009025</v>
      </c>
      <c r="T281" s="357">
        <f t="shared" ca="1" si="117"/>
        <v>85.884166640888864</v>
      </c>
      <c r="U281" s="364">
        <f t="shared" ca="1" si="118"/>
        <v>0</v>
      </c>
      <c r="V281" s="359">
        <f t="shared" ca="1" si="119"/>
        <v>1.1947386665339972</v>
      </c>
      <c r="W281" s="357">
        <f t="shared" ca="1" si="120"/>
        <v>74.038709870417605</v>
      </c>
      <c r="X281" s="343"/>
      <c r="Y281" s="367" t="str">
        <f t="shared" ca="1" si="138"/>
        <v/>
      </c>
      <c r="Z281" s="368" t="str">
        <f t="shared" ca="1" si="139"/>
        <v/>
      </c>
      <c r="AA281" s="369" t="str">
        <f t="shared" ca="1" si="140"/>
        <v/>
      </c>
      <c r="AB281" s="344"/>
      <c r="AC281" s="363" t="e">
        <f t="shared" ca="1" si="141"/>
        <v>#N/A</v>
      </c>
      <c r="AD281" s="376" t="e">
        <f t="shared" ca="1" si="142"/>
        <v>#N/A</v>
      </c>
      <c r="AE281" s="377">
        <f t="shared" ca="1" si="121"/>
        <v>250.12067529878118</v>
      </c>
      <c r="AF281" s="344"/>
      <c r="AG281" s="359">
        <f t="shared" ca="1" si="143"/>
        <v>34.44265175544416</v>
      </c>
      <c r="AH281" s="357">
        <f t="shared" ca="1" si="144"/>
        <v>43.990904568330102</v>
      </c>
    </row>
    <row r="282" spans="1:34" x14ac:dyDescent="0.25">
      <c r="A282" s="402">
        <f t="shared" ca="1" si="122"/>
        <v>0.01</v>
      </c>
      <c r="B282" s="357">
        <f t="shared" ca="1" si="123"/>
        <v>2.7799999999999847</v>
      </c>
      <c r="C282" s="342"/>
      <c r="D282" s="359">
        <f t="shared" ca="1" si="124"/>
        <v>10.041233629369202</v>
      </c>
      <c r="E282" s="360">
        <f t="shared" ca="1" si="125"/>
        <v>32.756938975255117</v>
      </c>
      <c r="F282" s="357">
        <f t="shared" ca="1" si="126"/>
        <v>34.26139845114561</v>
      </c>
      <c r="G282" s="359">
        <f t="shared" ca="1" si="127"/>
        <v>38.08949206383182</v>
      </c>
      <c r="H282" s="360">
        <f t="shared" ca="1" si="128"/>
        <v>161.37141103073259</v>
      </c>
      <c r="I282" s="357">
        <f t="shared" ca="1" si="129"/>
        <v>165.80573483366112</v>
      </c>
      <c r="J282" s="359">
        <f t="shared" ca="1" si="130"/>
        <v>55.066354106661421</v>
      </c>
      <c r="K282" s="360">
        <f t="shared" ca="1" si="131"/>
        <v>251.73275156213975</v>
      </c>
      <c r="L282" s="357">
        <f t="shared" ca="1" si="116"/>
        <v>257.68523738011498</v>
      </c>
      <c r="M282" s="359">
        <f t="shared" ca="1" si="132"/>
        <v>1.3390026377588458</v>
      </c>
      <c r="N282" s="357">
        <f t="shared" ca="1" si="133"/>
        <v>76.719199900466464</v>
      </c>
      <c r="O282" s="343"/>
      <c r="P282" s="363">
        <f t="shared" ca="1" si="134"/>
        <v>7</v>
      </c>
      <c r="Q282" s="357">
        <f t="shared" ca="1" si="135"/>
        <v>456.82978723404568</v>
      </c>
      <c r="R282" s="359">
        <f t="shared" ca="1" si="136"/>
        <v>0.22926158572694372</v>
      </c>
      <c r="S282" s="360">
        <f t="shared" ca="1" si="137"/>
        <v>8.7524644321436327</v>
      </c>
      <c r="T282" s="357">
        <f t="shared" ca="1" si="117"/>
        <v>85.861676079329044</v>
      </c>
      <c r="U282" s="364">
        <f t="shared" ca="1" si="118"/>
        <v>0</v>
      </c>
      <c r="V282" s="359">
        <f t="shared" ca="1" si="119"/>
        <v>1.1945460507555992</v>
      </c>
      <c r="W282" s="357">
        <f t="shared" ca="1" si="120"/>
        <v>74.33299132063685</v>
      </c>
      <c r="X282" s="343"/>
      <c r="Y282" s="367" t="str">
        <f t="shared" ca="1" si="138"/>
        <v/>
      </c>
      <c r="Z282" s="368" t="str">
        <f t="shared" ca="1" si="139"/>
        <v/>
      </c>
      <c r="AA282" s="369" t="str">
        <f t="shared" ca="1" si="140"/>
        <v/>
      </c>
      <c r="AB282" s="344"/>
      <c r="AC282" s="363" t="e">
        <f t="shared" ca="1" si="141"/>
        <v>#N/A</v>
      </c>
      <c r="AD282" s="376" t="e">
        <f t="shared" ca="1" si="142"/>
        <v>#N/A</v>
      </c>
      <c r="AE282" s="377">
        <f t="shared" ca="1" si="121"/>
        <v>251.73275156213975</v>
      </c>
      <c r="AF282" s="344"/>
      <c r="AG282" s="359">
        <f t="shared" ca="1" si="143"/>
        <v>34.187287200464041</v>
      </c>
      <c r="AH282" s="357">
        <f t="shared" ca="1" si="144"/>
        <v>43.735233696902412</v>
      </c>
    </row>
    <row r="283" spans="1:34" x14ac:dyDescent="0.25">
      <c r="A283" s="402">
        <f t="shared" ca="1" si="122"/>
        <v>0.01</v>
      </c>
      <c r="B283" s="357">
        <f t="shared" ca="1" si="123"/>
        <v>2.7899999999999845</v>
      </c>
      <c r="C283" s="342"/>
      <c r="D283" s="359">
        <f t="shared" ca="1" si="124"/>
        <v>9.9882861450279687</v>
      </c>
      <c r="E283" s="360">
        <f t="shared" ca="1" si="125"/>
        <v>32.506758288630472</v>
      </c>
      <c r="F283" s="357">
        <f t="shared" ca="1" si="126"/>
        <v>34.006693378663023</v>
      </c>
      <c r="G283" s="359">
        <f t="shared" ca="1" si="127"/>
        <v>38.189374925282102</v>
      </c>
      <c r="H283" s="360">
        <f t="shared" ca="1" si="128"/>
        <v>161.69647861361889</v>
      </c>
      <c r="I283" s="357">
        <f t="shared" ca="1" si="129"/>
        <v>166.1450557592018</v>
      </c>
      <c r="J283" s="359">
        <f t="shared" ca="1" si="130"/>
        <v>55.44774844160699</v>
      </c>
      <c r="K283" s="360">
        <f t="shared" ca="1" si="131"/>
        <v>253.34809101036151</v>
      </c>
      <c r="L283" s="357">
        <f t="shared" ca="1" si="116"/>
        <v>259.34476672151715</v>
      </c>
      <c r="M283" s="359">
        <f t="shared" ca="1" si="132"/>
        <v>1.3388669979339602</v>
      </c>
      <c r="N283" s="357">
        <f t="shared" ca="1" si="133"/>
        <v>76.711428310966639</v>
      </c>
      <c r="O283" s="343"/>
      <c r="P283" s="363">
        <f t="shared" ca="1" si="134"/>
        <v>7</v>
      </c>
      <c r="Q283" s="357">
        <f t="shared" ca="1" si="135"/>
        <v>454.78723404255635</v>
      </c>
      <c r="R283" s="359">
        <f t="shared" ca="1" si="136"/>
        <v>0.2282365234462029</v>
      </c>
      <c r="S283" s="360">
        <f t="shared" ca="1" si="137"/>
        <v>8.7501820669091703</v>
      </c>
      <c r="T283" s="357">
        <f t="shared" ca="1" si="117"/>
        <v>85.839286076378968</v>
      </c>
      <c r="U283" s="364">
        <f t="shared" ca="1" si="118"/>
        <v>0</v>
      </c>
      <c r="V283" s="359">
        <f t="shared" ca="1" si="119"/>
        <v>1.1943530758378222</v>
      </c>
      <c r="W283" s="357">
        <f t="shared" ca="1" si="120"/>
        <v>74.625489667795719</v>
      </c>
      <c r="X283" s="343"/>
      <c r="Y283" s="367" t="str">
        <f t="shared" ca="1" si="138"/>
        <v/>
      </c>
      <c r="Z283" s="368" t="str">
        <f t="shared" ca="1" si="139"/>
        <v/>
      </c>
      <c r="AA283" s="369" t="str">
        <f t="shared" ca="1" si="140"/>
        <v/>
      </c>
      <c r="AB283" s="344"/>
      <c r="AC283" s="363" t="e">
        <f t="shared" ca="1" si="141"/>
        <v>#N/A</v>
      </c>
      <c r="AD283" s="376" t="e">
        <f t="shared" ca="1" si="142"/>
        <v>#N/A</v>
      </c>
      <c r="AE283" s="377">
        <f t="shared" ca="1" si="121"/>
        <v>253.34809101036151</v>
      </c>
      <c r="AF283" s="344"/>
      <c r="AG283" s="359">
        <f t="shared" ca="1" si="143"/>
        <v>33.931939715883686</v>
      </c>
      <c r="AH283" s="357">
        <f t="shared" ca="1" si="144"/>
        <v>43.479580174759434</v>
      </c>
    </row>
    <row r="284" spans="1:34" x14ac:dyDescent="0.25">
      <c r="A284" s="402">
        <f t="shared" ca="1" si="122"/>
        <v>0.01</v>
      </c>
      <c r="B284" s="357">
        <f t="shared" ca="1" si="123"/>
        <v>2.7999999999999843</v>
      </c>
      <c r="C284" s="342"/>
      <c r="D284" s="359">
        <f t="shared" ca="1" si="124"/>
        <v>9.9352670385328494</v>
      </c>
      <c r="E284" s="360">
        <f t="shared" ca="1" si="125"/>
        <v>32.256614008735362</v>
      </c>
      <c r="F284" s="357">
        <f t="shared" ca="1" si="126"/>
        <v>33.75201739800896</v>
      </c>
      <c r="G284" s="359">
        <f t="shared" ca="1" si="127"/>
        <v>38.288727595667432</v>
      </c>
      <c r="H284" s="360">
        <f t="shared" ca="1" si="128"/>
        <v>162.01904475370625</v>
      </c>
      <c r="I284" s="357">
        <f t="shared" ca="1" si="129"/>
        <v>166.48182340363374</v>
      </c>
      <c r="J284" s="359">
        <f t="shared" ca="1" si="130"/>
        <v>55.830138954211741</v>
      </c>
      <c r="K284" s="360">
        <f t="shared" ca="1" si="131"/>
        <v>254.96666862719815</v>
      </c>
      <c r="L284" s="357">
        <f t="shared" ca="1" si="116"/>
        <v>261.00767522526627</v>
      </c>
      <c r="M284" s="359">
        <f t="shared" ca="1" si="132"/>
        <v>1.3387315547005607</v>
      </c>
      <c r="N284" s="357">
        <f t="shared" ca="1" si="133"/>
        <v>76.703667985329233</v>
      </c>
      <c r="O284" s="343"/>
      <c r="P284" s="363">
        <f t="shared" ca="1" si="134"/>
        <v>7</v>
      </c>
      <c r="Q284" s="357">
        <f t="shared" ca="1" si="135"/>
        <v>452.74468085106707</v>
      </c>
      <c r="R284" s="359">
        <f t="shared" ca="1" si="136"/>
        <v>0.22721146116546212</v>
      </c>
      <c r="S284" s="360">
        <f t="shared" ca="1" si="137"/>
        <v>8.7479099522975154</v>
      </c>
      <c r="T284" s="357">
        <f t="shared" ca="1" si="117"/>
        <v>85.816996632038638</v>
      </c>
      <c r="U284" s="364">
        <f t="shared" ca="1" si="118"/>
        <v>0</v>
      </c>
      <c r="V284" s="359">
        <f t="shared" ca="1" si="119"/>
        <v>1.1941597449476833</v>
      </c>
      <c r="W284" s="357">
        <f t="shared" ca="1" si="120"/>
        <v>74.916191765111364</v>
      </c>
      <c r="X284" s="343"/>
      <c r="Y284" s="367" t="str">
        <f t="shared" ca="1" si="138"/>
        <v/>
      </c>
      <c r="Z284" s="368" t="str">
        <f t="shared" ca="1" si="139"/>
        <v/>
      </c>
      <c r="AA284" s="369" t="str">
        <f t="shared" ca="1" si="140"/>
        <v/>
      </c>
      <c r="AB284" s="344"/>
      <c r="AC284" s="363" t="e">
        <f t="shared" ca="1" si="141"/>
        <v>#N/A</v>
      </c>
      <c r="AD284" s="376" t="e">
        <f t="shared" ca="1" si="142"/>
        <v>#N/A</v>
      </c>
      <c r="AE284" s="377">
        <f t="shared" ca="1" si="121"/>
        <v>254.96666862719815</v>
      </c>
      <c r="AF284" s="344"/>
      <c r="AG284" s="359">
        <f t="shared" ca="1" si="143"/>
        <v>33.676611738827987</v>
      </c>
      <c r="AH284" s="357">
        <f t="shared" ca="1" si="144"/>
        <v>43.223946433509376</v>
      </c>
    </row>
    <row r="285" spans="1:34" x14ac:dyDescent="0.25">
      <c r="A285" s="402">
        <f t="shared" ca="1" si="122"/>
        <v>0.01</v>
      </c>
      <c r="B285" s="357">
        <f t="shared" ca="1" si="123"/>
        <v>2.8099999999999841</v>
      </c>
      <c r="C285" s="342"/>
      <c r="D285" s="359">
        <f t="shared" ca="1" si="124"/>
        <v>9.8821771424247906</v>
      </c>
      <c r="E285" s="360">
        <f t="shared" ca="1" si="125"/>
        <v>32.006508441083525</v>
      </c>
      <c r="F285" s="357">
        <f t="shared" ca="1" si="126"/>
        <v>33.497373145717177</v>
      </c>
      <c r="G285" s="359">
        <f t="shared" ca="1" si="127"/>
        <v>38.38754936709168</v>
      </c>
      <c r="H285" s="360">
        <f t="shared" ca="1" si="128"/>
        <v>162.33910983811708</v>
      </c>
      <c r="I285" s="357">
        <f t="shared" ca="1" si="129"/>
        <v>166.81603798628939</v>
      </c>
      <c r="J285" s="359">
        <f t="shared" ca="1" si="130"/>
        <v>56.213520339025536</v>
      </c>
      <c r="K285" s="360">
        <f t="shared" ca="1" si="131"/>
        <v>256.58845940015726</v>
      </c>
      <c r="L285" s="357">
        <f t="shared" ca="1" si="116"/>
        <v>262.67393735628241</v>
      </c>
      <c r="M285" s="359">
        <f t="shared" ca="1" si="132"/>
        <v>1.3385963053099854</v>
      </c>
      <c r="N285" s="357">
        <f t="shared" ca="1" si="133"/>
        <v>76.69591876606755</v>
      </c>
      <c r="O285" s="343"/>
      <c r="P285" s="363">
        <f t="shared" ca="1" si="134"/>
        <v>7</v>
      </c>
      <c r="Q285" s="357">
        <f t="shared" ca="1" si="135"/>
        <v>450.70212765957774</v>
      </c>
      <c r="R285" s="359">
        <f t="shared" ca="1" si="136"/>
        <v>0.22618639888472128</v>
      </c>
      <c r="S285" s="360">
        <f t="shared" ca="1" si="137"/>
        <v>8.745648088308668</v>
      </c>
      <c r="T285" s="357">
        <f t="shared" ca="1" si="117"/>
        <v>85.794807746308038</v>
      </c>
      <c r="U285" s="364">
        <f t="shared" ca="1" si="118"/>
        <v>0</v>
      </c>
      <c r="V285" s="359">
        <f t="shared" ca="1" si="119"/>
        <v>1.1939660612501282</v>
      </c>
      <c r="W285" s="357">
        <f t="shared" ca="1" si="120"/>
        <v>75.205084609849777</v>
      </c>
      <c r="X285" s="343"/>
      <c r="Y285" s="367" t="str">
        <f t="shared" ca="1" si="138"/>
        <v/>
      </c>
      <c r="Z285" s="368" t="str">
        <f t="shared" ca="1" si="139"/>
        <v/>
      </c>
      <c r="AA285" s="369" t="str">
        <f t="shared" ca="1" si="140"/>
        <v/>
      </c>
      <c r="AB285" s="344"/>
      <c r="AC285" s="363" t="e">
        <f t="shared" ca="1" si="141"/>
        <v>#N/A</v>
      </c>
      <c r="AD285" s="376" t="e">
        <f t="shared" ca="1" si="142"/>
        <v>#N/A</v>
      </c>
      <c r="AE285" s="377">
        <f t="shared" ca="1" si="121"/>
        <v>256.58845940015726</v>
      </c>
      <c r="AF285" s="344"/>
      <c r="AG285" s="359">
        <f t="shared" ca="1" si="143"/>
        <v>33.421305692299249</v>
      </c>
      <c r="AH285" s="357">
        <f t="shared" ca="1" si="144"/>
        <v>42.968334890678193</v>
      </c>
    </row>
    <row r="286" spans="1:34" x14ac:dyDescent="0.25">
      <c r="A286" s="402">
        <f t="shared" ca="1" si="122"/>
        <v>0.01</v>
      </c>
      <c r="B286" s="357">
        <f t="shared" ca="1" si="123"/>
        <v>2.8199999999999839</v>
      </c>
      <c r="C286" s="342"/>
      <c r="D286" s="359">
        <f t="shared" ca="1" si="124"/>
        <v>9.8290172834387715</v>
      </c>
      <c r="E286" s="360">
        <f t="shared" ca="1" si="125"/>
        <v>31.756443877889218</v>
      </c>
      <c r="F286" s="357">
        <f t="shared" ca="1" si="126"/>
        <v>33.242763250483037</v>
      </c>
      <c r="G286" s="359">
        <f t="shared" ca="1" si="127"/>
        <v>38.485839539926069</v>
      </c>
      <c r="H286" s="360">
        <f t="shared" ca="1" si="128"/>
        <v>162.65667427689598</v>
      </c>
      <c r="I286" s="357">
        <f t="shared" ca="1" si="129"/>
        <v>167.14769975058937</v>
      </c>
      <c r="J286" s="359">
        <f t="shared" ca="1" si="130"/>
        <v>56.597887283560624</v>
      </c>
      <c r="K286" s="360">
        <f t="shared" ca="1" si="131"/>
        <v>258.21343832073234</v>
      </c>
      <c r="L286" s="357">
        <f t="shared" ca="1" si="116"/>
        <v>264.34352758177619</v>
      </c>
      <c r="M286" s="359">
        <f t="shared" ca="1" si="132"/>
        <v>1.3384612470375605</v>
      </c>
      <c r="N286" s="357">
        <f t="shared" ca="1" si="133"/>
        <v>76.688180497069283</v>
      </c>
      <c r="O286" s="343"/>
      <c r="P286" s="363">
        <f t="shared" ca="1" si="134"/>
        <v>7</v>
      </c>
      <c r="Q286" s="357">
        <f t="shared" ca="1" si="135"/>
        <v>448.65957446808841</v>
      </c>
      <c r="R286" s="359">
        <f t="shared" ca="1" si="136"/>
        <v>0.22516133660398047</v>
      </c>
      <c r="S286" s="360">
        <f t="shared" ca="1" si="137"/>
        <v>8.7433964749426281</v>
      </c>
      <c r="T286" s="357">
        <f t="shared" ca="1" si="117"/>
        <v>85.772719419187183</v>
      </c>
      <c r="U286" s="364">
        <f t="shared" ca="1" si="118"/>
        <v>0</v>
      </c>
      <c r="V286" s="359">
        <f t="shared" ca="1" si="119"/>
        <v>1.1937720279079933</v>
      </c>
      <c r="W286" s="357">
        <f t="shared" ca="1" si="120"/>
        <v>75.492155343274888</v>
      </c>
      <c r="X286" s="343"/>
      <c r="Y286" s="367" t="str">
        <f t="shared" ca="1" si="138"/>
        <v/>
      </c>
      <c r="Z286" s="368" t="str">
        <f t="shared" ca="1" si="139"/>
        <v/>
      </c>
      <c r="AA286" s="369" t="str">
        <f t="shared" ca="1" si="140"/>
        <v/>
      </c>
      <c r="AB286" s="344"/>
      <c r="AC286" s="363" t="e">
        <f t="shared" ca="1" si="141"/>
        <v>#N/A</v>
      </c>
      <c r="AD286" s="376" t="e">
        <f t="shared" ca="1" si="142"/>
        <v>#N/A</v>
      </c>
      <c r="AE286" s="377">
        <f t="shared" ca="1" si="121"/>
        <v>258.21343832073234</v>
      </c>
      <c r="AF286" s="344"/>
      <c r="AG286" s="359">
        <f t="shared" ca="1" si="143"/>
        <v>33.166023985136185</v>
      </c>
      <c r="AH286" s="357">
        <f t="shared" ca="1" si="144"/>
        <v>42.712747949667822</v>
      </c>
    </row>
    <row r="287" spans="1:34" x14ac:dyDescent="0.25">
      <c r="A287" s="402">
        <f t="shared" ca="1" si="122"/>
        <v>0.01</v>
      </c>
      <c r="B287" s="357">
        <f t="shared" ca="1" si="123"/>
        <v>2.8299999999999836</v>
      </c>
      <c r="C287" s="342"/>
      <c r="D287" s="359">
        <f t="shared" ca="1" si="124"/>
        <v>9.7757882825292377</v>
      </c>
      <c r="E287" s="360">
        <f t="shared" ca="1" si="125"/>
        <v>31.506422598022112</v>
      </c>
      <c r="F287" s="357">
        <f t="shared" ca="1" si="126"/>
        <v>32.988190333360123</v>
      </c>
      <c r="G287" s="359">
        <f t="shared" ca="1" si="127"/>
        <v>38.58359742275136</v>
      </c>
      <c r="H287" s="360">
        <f t="shared" ca="1" si="128"/>
        <v>162.97173850287621</v>
      </c>
      <c r="I287" s="357">
        <f t="shared" ca="1" si="129"/>
        <v>167.47680896390045</v>
      </c>
      <c r="J287" s="359">
        <f t="shared" ca="1" si="130"/>
        <v>56.983234468374008</v>
      </c>
      <c r="K287" s="360">
        <f t="shared" ca="1" si="131"/>
        <v>259.84158038463119</v>
      </c>
      <c r="L287" s="357">
        <f t="shared" ca="1" si="116"/>
        <v>266.01642037148844</v>
      </c>
      <c r="M287" s="359">
        <f t="shared" ca="1" si="132"/>
        <v>1.3383263771821925</v>
      </c>
      <c r="N287" s="357">
        <f t="shared" ca="1" si="133"/>
        <v>76.680453023573151</v>
      </c>
      <c r="O287" s="343"/>
      <c r="P287" s="363">
        <f t="shared" ca="1" si="134"/>
        <v>7</v>
      </c>
      <c r="Q287" s="357">
        <f t="shared" ca="1" si="135"/>
        <v>446.61702127659908</v>
      </c>
      <c r="R287" s="359">
        <f t="shared" ca="1" si="136"/>
        <v>0.22413627432323965</v>
      </c>
      <c r="S287" s="360">
        <f t="shared" ca="1" si="137"/>
        <v>8.7411551121993956</v>
      </c>
      <c r="T287" s="357">
        <f t="shared" ca="1" si="117"/>
        <v>85.750731650676073</v>
      </c>
      <c r="U287" s="364">
        <f t="shared" ca="1" si="118"/>
        <v>0</v>
      </c>
      <c r="V287" s="359">
        <f t="shared" ca="1" si="119"/>
        <v>1.1935776480819718</v>
      </c>
      <c r="W287" s="357">
        <f t="shared" ca="1" si="120"/>
        <v>75.777391250589417</v>
      </c>
      <c r="X287" s="343"/>
      <c r="Y287" s="367" t="str">
        <f t="shared" ca="1" si="138"/>
        <v/>
      </c>
      <c r="Z287" s="368" t="str">
        <f t="shared" ca="1" si="139"/>
        <v/>
      </c>
      <c r="AA287" s="369" t="str">
        <f t="shared" ca="1" si="140"/>
        <v/>
      </c>
      <c r="AB287" s="344"/>
      <c r="AC287" s="363" t="e">
        <f t="shared" ca="1" si="141"/>
        <v>#N/A</v>
      </c>
      <c r="AD287" s="376" t="e">
        <f t="shared" ca="1" si="142"/>
        <v>#N/A</v>
      </c>
      <c r="AE287" s="377">
        <f t="shared" ca="1" si="121"/>
        <v>259.84158038463119</v>
      </c>
      <c r="AF287" s="344"/>
      <c r="AG287" s="359">
        <f t="shared" ca="1" si="143"/>
        <v>32.910769011973983</v>
      </c>
      <c r="AH287" s="357">
        <f t="shared" ca="1" si="144"/>
        <v>42.457187999715529</v>
      </c>
    </row>
    <row r="288" spans="1:34" x14ac:dyDescent="0.25">
      <c r="A288" s="402">
        <f t="shared" ca="1" si="122"/>
        <v>0.01</v>
      </c>
      <c r="B288" s="357">
        <f t="shared" ca="1" si="123"/>
        <v>2.8399999999999834</v>
      </c>
      <c r="C288" s="342"/>
      <c r="D288" s="359">
        <f t="shared" ca="1" si="124"/>
        <v>9.7224909548949636</v>
      </c>
      <c r="E288" s="360">
        <f t="shared" ca="1" si="125"/>
        <v>31.256446866963316</v>
      </c>
      <c r="F288" s="357">
        <f t="shared" ca="1" si="126"/>
        <v>32.733657007968347</v>
      </c>
      <c r="G288" s="359">
        <f t="shared" ca="1" si="127"/>
        <v>38.680822332300309</v>
      </c>
      <c r="H288" s="360">
        <f t="shared" ca="1" si="128"/>
        <v>163.28430297154583</v>
      </c>
      <c r="I288" s="357">
        <f t="shared" ca="1" si="129"/>
        <v>167.80336591739319</v>
      </c>
      <c r="J288" s="359">
        <f t="shared" ca="1" si="130"/>
        <v>57.369556567149267</v>
      </c>
      <c r="K288" s="360">
        <f t="shared" ca="1" si="131"/>
        <v>261.47286059200331</v>
      </c>
      <c r="L288" s="357">
        <f t="shared" ca="1" si="116"/>
        <v>267.69259019792935</v>
      </c>
      <c r="M288" s="359">
        <f t="shared" ca="1" si="132"/>
        <v>1.3381916930659663</v>
      </c>
      <c r="N288" s="357">
        <f t="shared" ca="1" si="133"/>
        <v>76.672736192145933</v>
      </c>
      <c r="O288" s="343"/>
      <c r="P288" s="363">
        <f t="shared" ca="1" si="134"/>
        <v>7</v>
      </c>
      <c r="Q288" s="357">
        <f t="shared" ca="1" si="135"/>
        <v>444.57446808510974</v>
      </c>
      <c r="R288" s="359">
        <f t="shared" ca="1" si="136"/>
        <v>0.22311121204249884</v>
      </c>
      <c r="S288" s="360">
        <f t="shared" ca="1" si="137"/>
        <v>8.7389240000789705</v>
      </c>
      <c r="T288" s="357">
        <f t="shared" ca="1" si="117"/>
        <v>85.728844440774708</v>
      </c>
      <c r="U288" s="364">
        <f t="shared" ca="1" si="118"/>
        <v>0</v>
      </c>
      <c r="V288" s="359">
        <f t="shared" ca="1" si="119"/>
        <v>1.1933829249305774</v>
      </c>
      <c r="W288" s="357">
        <f t="shared" ca="1" si="120"/>
        <v>76.060779760867803</v>
      </c>
      <c r="X288" s="343"/>
      <c r="Y288" s="367" t="str">
        <f t="shared" ca="1" si="138"/>
        <v/>
      </c>
      <c r="Z288" s="368" t="str">
        <f t="shared" ca="1" si="139"/>
        <v/>
      </c>
      <c r="AA288" s="369" t="str">
        <f t="shared" ca="1" si="140"/>
        <v/>
      </c>
      <c r="AB288" s="344"/>
      <c r="AC288" s="363" t="e">
        <f t="shared" ca="1" si="141"/>
        <v>#N/A</v>
      </c>
      <c r="AD288" s="376" t="e">
        <f t="shared" ca="1" si="142"/>
        <v>#N/A</v>
      </c>
      <c r="AE288" s="377">
        <f t="shared" ca="1" si="121"/>
        <v>261.47286059200331</v>
      </c>
      <c r="AF288" s="344"/>
      <c r="AG288" s="359">
        <f t="shared" ca="1" si="143"/>
        <v>32.655543153205464</v>
      </c>
      <c r="AH288" s="357">
        <f t="shared" ca="1" si="144"/>
        <v>42.201657415854363</v>
      </c>
    </row>
    <row r="289" spans="1:34" x14ac:dyDescent="0.25">
      <c r="A289" s="402">
        <f t="shared" ca="1" si="122"/>
        <v>0.01</v>
      </c>
      <c r="B289" s="357">
        <f t="shared" ca="1" si="123"/>
        <v>2.8499999999999832</v>
      </c>
      <c r="C289" s="342"/>
      <c r="D289" s="359">
        <f t="shared" ca="1" si="124"/>
        <v>9.669126110003484</v>
      </c>
      <c r="E289" s="360">
        <f t="shared" ca="1" si="125"/>
        <v>31.006518936762788</v>
      </c>
      <c r="F289" s="357">
        <f t="shared" ca="1" si="126"/>
        <v>32.479165880714682</v>
      </c>
      <c r="G289" s="359">
        <f t="shared" ca="1" si="127"/>
        <v>38.777513593400343</v>
      </c>
      <c r="H289" s="360">
        <f t="shared" ca="1" si="128"/>
        <v>163.59436816091346</v>
      </c>
      <c r="I289" s="357">
        <f t="shared" ca="1" si="129"/>
        <v>168.12737092589904</v>
      </c>
      <c r="J289" s="359">
        <f t="shared" ca="1" si="130"/>
        <v>57.756848246777771</v>
      </c>
      <c r="K289" s="360">
        <f t="shared" ca="1" si="131"/>
        <v>263.10725394766558</v>
      </c>
      <c r="L289" s="357">
        <f t="shared" ca="1" si="116"/>
        <v>269.37201153661584</v>
      </c>
      <c r="M289" s="359">
        <f t="shared" ca="1" si="132"/>
        <v>1.3380571920337534</v>
      </c>
      <c r="N289" s="357">
        <f t="shared" ca="1" si="133"/>
        <v>76.665029850659991</v>
      </c>
      <c r="O289" s="343"/>
      <c r="P289" s="363">
        <f t="shared" ca="1" si="134"/>
        <v>7</v>
      </c>
      <c r="Q289" s="357">
        <f t="shared" ca="1" si="135"/>
        <v>442.53191489362047</v>
      </c>
      <c r="R289" s="359">
        <f t="shared" ca="1" si="136"/>
        <v>0.22208614976175803</v>
      </c>
      <c r="S289" s="360">
        <f t="shared" ca="1" si="137"/>
        <v>8.7367031385813529</v>
      </c>
      <c r="T289" s="357">
        <f t="shared" ca="1" si="117"/>
        <v>85.707057789483073</v>
      </c>
      <c r="U289" s="364">
        <f t="shared" ca="1" si="118"/>
        <v>0</v>
      </c>
      <c r="V289" s="359">
        <f t="shared" ca="1" si="119"/>
        <v>1.1931878616101093</v>
      </c>
      <c r="W289" s="357">
        <f t="shared" ca="1" si="120"/>
        <v>76.342308446980738</v>
      </c>
      <c r="X289" s="343"/>
      <c r="Y289" s="367" t="str">
        <f t="shared" ca="1" si="138"/>
        <v/>
      </c>
      <c r="Z289" s="368" t="str">
        <f t="shared" ca="1" si="139"/>
        <v/>
      </c>
      <c r="AA289" s="369" t="str">
        <f t="shared" ca="1" si="140"/>
        <v/>
      </c>
      <c r="AB289" s="344"/>
      <c r="AC289" s="363" t="e">
        <f t="shared" ca="1" si="141"/>
        <v>#N/A</v>
      </c>
      <c r="AD289" s="376" t="e">
        <f t="shared" ca="1" si="142"/>
        <v>#N/A</v>
      </c>
      <c r="AE289" s="377">
        <f t="shared" ca="1" si="121"/>
        <v>263.10725394766558</v>
      </c>
      <c r="AF289" s="344"/>
      <c r="AG289" s="359">
        <f t="shared" ca="1" si="143"/>
        <v>32.40034877494346</v>
      </c>
      <c r="AH289" s="357">
        <f t="shared" ca="1" si="144"/>
        <v>41.946158558874814</v>
      </c>
    </row>
    <row r="290" spans="1:34" x14ac:dyDescent="0.25">
      <c r="A290" s="402">
        <f t="shared" ca="1" si="122"/>
        <v>0.01</v>
      </c>
      <c r="B290" s="357">
        <f t="shared" ca="1" si="123"/>
        <v>2.859999999999983</v>
      </c>
      <c r="C290" s="342"/>
      <c r="D290" s="359">
        <f t="shared" ca="1" si="124"/>
        <v>9.6156945516148831</v>
      </c>
      <c r="E290" s="360">
        <f t="shared" ca="1" si="125"/>
        <v>30.756641045997881</v>
      </c>
      <c r="F290" s="357">
        <f t="shared" ca="1" si="126"/>
        <v>32.224719551026624</v>
      </c>
      <c r="G290" s="359">
        <f t="shared" ca="1" si="127"/>
        <v>38.873670538916492</v>
      </c>
      <c r="H290" s="360">
        <f t="shared" ca="1" si="128"/>
        <v>163.90193457137343</v>
      </c>
      <c r="I290" s="357">
        <f t="shared" ca="1" si="129"/>
        <v>168.44882432776728</v>
      </c>
      <c r="J290" s="359">
        <f t="shared" ca="1" si="130"/>
        <v>58.145104167439357</v>
      </c>
      <c r="K290" s="360">
        <f t="shared" ca="1" si="131"/>
        <v>264.74473546132702</v>
      </c>
      <c r="L290" s="357">
        <f t="shared" ca="1" si="116"/>
        <v>271.05465886630759</v>
      </c>
      <c r="M290" s="359">
        <f t="shared" ca="1" si="132"/>
        <v>1.3379228714528228</v>
      </c>
      <c r="N290" s="357">
        <f t="shared" ca="1" si="133"/>
        <v>76.657333848270923</v>
      </c>
      <c r="O290" s="343"/>
      <c r="P290" s="363">
        <f t="shared" ca="1" si="134"/>
        <v>7</v>
      </c>
      <c r="Q290" s="357">
        <f t="shared" ca="1" si="135"/>
        <v>440.48936170213113</v>
      </c>
      <c r="R290" s="359">
        <f t="shared" ca="1" si="136"/>
        <v>0.22106108748101722</v>
      </c>
      <c r="S290" s="360">
        <f t="shared" ca="1" si="137"/>
        <v>8.7344925277065428</v>
      </c>
      <c r="T290" s="357">
        <f t="shared" ca="1" si="117"/>
        <v>85.685371696801184</v>
      </c>
      <c r="U290" s="364">
        <f t="shared" ca="1" si="118"/>
        <v>0</v>
      </c>
      <c r="V290" s="359">
        <f t="shared" ca="1" si="119"/>
        <v>1.1929924612746183</v>
      </c>
      <c r="W290" s="357">
        <f t="shared" ca="1" si="120"/>
        <v>76.621965025511983</v>
      </c>
      <c r="X290" s="343"/>
      <c r="Y290" s="367" t="str">
        <f t="shared" ca="1" si="138"/>
        <v/>
      </c>
      <c r="Z290" s="368" t="str">
        <f t="shared" ca="1" si="139"/>
        <v/>
      </c>
      <c r="AA290" s="369" t="str">
        <f t="shared" ca="1" si="140"/>
        <v/>
      </c>
      <c r="AB290" s="344"/>
      <c r="AC290" s="363" t="e">
        <f t="shared" ca="1" si="141"/>
        <v>#N/A</v>
      </c>
      <c r="AD290" s="376" t="e">
        <f t="shared" ca="1" si="142"/>
        <v>#N/A</v>
      </c>
      <c r="AE290" s="377">
        <f t="shared" ca="1" si="121"/>
        <v>264.74473546132702</v>
      </c>
      <c r="AF290" s="344"/>
      <c r="AG290" s="359">
        <f t="shared" ca="1" si="143"/>
        <v>32.14518822898421</v>
      </c>
      <c r="AH290" s="357">
        <f t="shared" ca="1" si="144"/>
        <v>41.690693775287507</v>
      </c>
    </row>
    <row r="291" spans="1:34" x14ac:dyDescent="0.25">
      <c r="A291" s="402">
        <f t="shared" ca="1" si="122"/>
        <v>0.01</v>
      </c>
      <c r="B291" s="357">
        <f t="shared" ca="1" si="123"/>
        <v>2.8699999999999828</v>
      </c>
      <c r="C291" s="342"/>
      <c r="D291" s="359">
        <f t="shared" ca="1" si="124"/>
        <v>9.5621970778052354</v>
      </c>
      <c r="E291" s="360">
        <f t="shared" ca="1" si="125"/>
        <v>30.50681541973308</v>
      </c>
      <c r="F291" s="357">
        <f t="shared" ca="1" si="126"/>
        <v>31.970320611599298</v>
      </c>
      <c r="G291" s="359">
        <f t="shared" ca="1" si="127"/>
        <v>38.969292509694547</v>
      </c>
      <c r="H291" s="360">
        <f t="shared" ca="1" si="128"/>
        <v>164.20700272557076</v>
      </c>
      <c r="I291" s="357">
        <f t="shared" ca="1" si="129"/>
        <v>168.76772648472141</v>
      </c>
      <c r="J291" s="359">
        <f t="shared" ca="1" si="130"/>
        <v>58.534318982682414</v>
      </c>
      <c r="K291" s="360">
        <f t="shared" ca="1" si="131"/>
        <v>266.38528014781173</v>
      </c>
      <c r="L291" s="357">
        <f t="shared" ca="1" si="116"/>
        <v>272.74050666924148</v>
      </c>
      <c r="M291" s="359">
        <f t="shared" ca="1" si="132"/>
        <v>1.3377887287124628</v>
      </c>
      <c r="N291" s="357">
        <f t="shared" ca="1" si="133"/>
        <v>76.64964803539597</v>
      </c>
      <c r="O291" s="343"/>
      <c r="P291" s="363">
        <f t="shared" ca="1" si="134"/>
        <v>7</v>
      </c>
      <c r="Q291" s="357">
        <f t="shared" ca="1" si="135"/>
        <v>438.44680851064186</v>
      </c>
      <c r="R291" s="359">
        <f t="shared" ca="1" si="136"/>
        <v>0.22003602520027643</v>
      </c>
      <c r="S291" s="360">
        <f t="shared" ca="1" si="137"/>
        <v>8.7322921674545402</v>
      </c>
      <c r="T291" s="357">
        <f t="shared" ca="1" si="117"/>
        <v>85.663786162729039</v>
      </c>
      <c r="U291" s="364">
        <f t="shared" ca="1" si="118"/>
        <v>0</v>
      </c>
      <c r="V291" s="359">
        <f t="shared" ca="1" si="119"/>
        <v>1.1927967270758715</v>
      </c>
      <c r="W291" s="357">
        <f t="shared" ca="1" si="120"/>
        <v>76.89973735666689</v>
      </c>
      <c r="X291" s="343"/>
      <c r="Y291" s="367" t="str">
        <f t="shared" ca="1" si="138"/>
        <v/>
      </c>
      <c r="Z291" s="368" t="str">
        <f t="shared" ca="1" si="139"/>
        <v/>
      </c>
      <c r="AA291" s="369" t="str">
        <f t="shared" ca="1" si="140"/>
        <v/>
      </c>
      <c r="AB291" s="344"/>
      <c r="AC291" s="363" t="e">
        <f t="shared" ca="1" si="141"/>
        <v>#N/A</v>
      </c>
      <c r="AD291" s="376" t="e">
        <f t="shared" ca="1" si="142"/>
        <v>#N/A</v>
      </c>
      <c r="AE291" s="377">
        <f t="shared" ca="1" si="121"/>
        <v>266.38528014781173</v>
      </c>
      <c r="AF291" s="344"/>
      <c r="AG291" s="359">
        <f t="shared" ca="1" si="143"/>
        <v>31.890063852771856</v>
      </c>
      <c r="AH291" s="357">
        <f t="shared" ca="1" si="144"/>
        <v>41.435265397287054</v>
      </c>
    </row>
    <row r="292" spans="1:34" x14ac:dyDescent="0.25">
      <c r="A292" s="402">
        <f t="shared" ca="1" si="122"/>
        <v>0.01</v>
      </c>
      <c r="B292" s="357">
        <f t="shared" ca="1" si="123"/>
        <v>2.8799999999999826</v>
      </c>
      <c r="C292" s="342"/>
      <c r="D292" s="359">
        <f t="shared" ca="1" si="124"/>
        <v>9.508634480989425</v>
      </c>
      <c r="E292" s="360">
        <f t="shared" ca="1" si="125"/>
        <v>30.257044269481</v>
      </c>
      <c r="F292" s="357">
        <f t="shared" ca="1" si="126"/>
        <v>31.715971648656677</v>
      </c>
      <c r="G292" s="359">
        <f t="shared" ca="1" si="127"/>
        <v>39.06437885450444</v>
      </c>
      <c r="H292" s="360">
        <f t="shared" ca="1" si="128"/>
        <v>164.50957316826558</v>
      </c>
      <c r="I292" s="357">
        <f t="shared" ca="1" si="129"/>
        <v>169.08407778171539</v>
      </c>
      <c r="J292" s="359">
        <f t="shared" ca="1" si="130"/>
        <v>58.924487339503408</v>
      </c>
      <c r="K292" s="360">
        <f t="shared" ca="1" si="131"/>
        <v>268.02886302728092</v>
      </c>
      <c r="L292" s="357">
        <f t="shared" ca="1" si="116"/>
        <v>274.42952943136459</v>
      </c>
      <c r="M292" s="359">
        <f t="shared" ca="1" si="132"/>
        <v>1.3376547612236065</v>
      </c>
      <c r="N292" s="357">
        <f t="shared" ca="1" si="133"/>
        <v>76.641972263692537</v>
      </c>
      <c r="O292" s="343"/>
      <c r="P292" s="363">
        <f t="shared" ca="1" si="134"/>
        <v>7</v>
      </c>
      <c r="Q292" s="357">
        <f t="shared" ca="1" si="135"/>
        <v>436.40425531915253</v>
      </c>
      <c r="R292" s="359">
        <f t="shared" ca="1" si="136"/>
        <v>0.21901096291953562</v>
      </c>
      <c r="S292" s="360">
        <f t="shared" ca="1" si="137"/>
        <v>8.730102057825345</v>
      </c>
      <c r="T292" s="357">
        <f t="shared" ca="1" si="117"/>
        <v>85.642301187266639</v>
      </c>
      <c r="U292" s="364">
        <f t="shared" ca="1" si="118"/>
        <v>0</v>
      </c>
      <c r="V292" s="359">
        <f t="shared" ca="1" si="119"/>
        <v>1.1926006621633183</v>
      </c>
      <c r="W292" s="357">
        <f t="shared" ca="1" si="120"/>
        <v>77.175613444173464</v>
      </c>
      <c r="X292" s="343"/>
      <c r="Y292" s="367" t="str">
        <f t="shared" ca="1" si="138"/>
        <v/>
      </c>
      <c r="Z292" s="368" t="str">
        <f t="shared" ca="1" si="139"/>
        <v/>
      </c>
      <c r="AA292" s="369" t="str">
        <f t="shared" ca="1" si="140"/>
        <v/>
      </c>
      <c r="AB292" s="344"/>
      <c r="AC292" s="363" t="e">
        <f t="shared" ca="1" si="141"/>
        <v>#N/A</v>
      </c>
      <c r="AD292" s="376" t="e">
        <f t="shared" ca="1" si="142"/>
        <v>#N/A</v>
      </c>
      <c r="AE292" s="377">
        <f t="shared" ca="1" si="121"/>
        <v>268.02886302728092</v>
      </c>
      <c r="AF292" s="344"/>
      <c r="AG292" s="359">
        <f t="shared" ca="1" si="143"/>
        <v>31.634977969364094</v>
      </c>
      <c r="AH292" s="357">
        <f t="shared" ca="1" si="144"/>
        <v>41.179875742716995</v>
      </c>
    </row>
    <row r="293" spans="1:34" x14ac:dyDescent="0.25">
      <c r="A293" s="402">
        <f t="shared" ca="1" si="122"/>
        <v>0.01</v>
      </c>
      <c r="B293" s="357">
        <f t="shared" ca="1" si="123"/>
        <v>2.8899999999999824</v>
      </c>
      <c r="C293" s="342"/>
      <c r="D293" s="359">
        <f t="shared" ca="1" si="124"/>
        <v>9.4550075479435876</v>
      </c>
      <c r="E293" s="360">
        <f t="shared" ca="1" si="125"/>
        <v>30.007329793164615</v>
      </c>
      <c r="F293" s="357">
        <f t="shared" ca="1" si="126"/>
        <v>31.461675242227884</v>
      </c>
      <c r="G293" s="359">
        <f t="shared" ca="1" si="127"/>
        <v>39.158928929983873</v>
      </c>
      <c r="H293" s="360">
        <f t="shared" ca="1" si="128"/>
        <v>164.80964646619722</v>
      </c>
      <c r="I293" s="357">
        <f t="shared" ca="1" si="129"/>
        <v>169.39787862678932</v>
      </c>
      <c r="J293" s="359">
        <f t="shared" ca="1" si="130"/>
        <v>59.315603878425847</v>
      </c>
      <c r="K293" s="360">
        <f t="shared" ca="1" si="131"/>
        <v>269.67545912545324</v>
      </c>
      <c r="L293" s="357">
        <f t="shared" ca="1" si="116"/>
        <v>276.12170164256617</v>
      </c>
      <c r="M293" s="359">
        <f t="shared" ca="1" si="132"/>
        <v>1.3375209664184637</v>
      </c>
      <c r="N293" s="357">
        <f t="shared" ca="1" si="133"/>
        <v>76.634306386037082</v>
      </c>
      <c r="O293" s="343"/>
      <c r="P293" s="363">
        <f t="shared" ca="1" si="134"/>
        <v>7</v>
      </c>
      <c r="Q293" s="357">
        <f t="shared" ca="1" si="135"/>
        <v>434.36170212766319</v>
      </c>
      <c r="R293" s="359">
        <f t="shared" ca="1" si="136"/>
        <v>0.21798590063879481</v>
      </c>
      <c r="S293" s="360">
        <f t="shared" ca="1" si="137"/>
        <v>8.7279221988189573</v>
      </c>
      <c r="T293" s="357">
        <f t="shared" ca="1" si="117"/>
        <v>85.62091677041397</v>
      </c>
      <c r="U293" s="364">
        <f t="shared" ca="1" si="118"/>
        <v>0</v>
      </c>
      <c r="V293" s="359">
        <f t="shared" ca="1" si="119"/>
        <v>1.192404269684056</v>
      </c>
      <c r="W293" s="357">
        <f t="shared" ca="1" si="120"/>
        <v>77.449581435175006</v>
      </c>
      <c r="X293" s="343"/>
      <c r="Y293" s="367" t="str">
        <f t="shared" ca="1" si="138"/>
        <v/>
      </c>
      <c r="Z293" s="368" t="str">
        <f t="shared" ca="1" si="139"/>
        <v/>
      </c>
      <c r="AA293" s="369" t="str">
        <f t="shared" ca="1" si="140"/>
        <v/>
      </c>
      <c r="AB293" s="344"/>
      <c r="AC293" s="363" t="e">
        <f t="shared" ca="1" si="141"/>
        <v>#N/A</v>
      </c>
      <c r="AD293" s="376" t="e">
        <f t="shared" ca="1" si="142"/>
        <v>#N/A</v>
      </c>
      <c r="AE293" s="377">
        <f t="shared" ca="1" si="121"/>
        <v>269.67545912545324</v>
      </c>
      <c r="AF293" s="344"/>
      <c r="AG293" s="359">
        <f t="shared" ca="1" si="143"/>
        <v>31.379932887398855</v>
      </c>
      <c r="AH293" s="357">
        <f t="shared" ca="1" si="144"/>
        <v>40.92452711503585</v>
      </c>
    </row>
    <row r="294" spans="1:34" x14ac:dyDescent="0.25">
      <c r="A294" s="402">
        <f t="shared" ca="1" si="122"/>
        <v>0.01</v>
      </c>
      <c r="B294" s="357">
        <f t="shared" ca="1" si="123"/>
        <v>2.8999999999999821</v>
      </c>
      <c r="C294" s="342"/>
      <c r="D294" s="359">
        <f t="shared" ca="1" si="124"/>
        <v>9.4013170598271323</v>
      </c>
      <c r="E294" s="360">
        <f t="shared" ca="1" si="125"/>
        <v>29.757674175080567</v>
      </c>
      <c r="F294" s="357">
        <f t="shared" ca="1" si="126"/>
        <v>31.207433966439048</v>
      </c>
      <c r="G294" s="359">
        <f t="shared" ca="1" si="127"/>
        <v>39.252942100582146</v>
      </c>
      <c r="H294" s="360">
        <f t="shared" ca="1" si="128"/>
        <v>165.10722320794804</v>
      </c>
      <c r="I294" s="357">
        <f t="shared" ca="1" si="129"/>
        <v>169.70912945092502</v>
      </c>
      <c r="J294" s="359">
        <f t="shared" ca="1" si="130"/>
        <v>59.707663233578678</v>
      </c>
      <c r="K294" s="360">
        <f t="shared" ca="1" si="131"/>
        <v>271.325043473824</v>
      </c>
      <c r="L294" s="357">
        <f t="shared" ca="1" si="116"/>
        <v>277.81699779690751</v>
      </c>
      <c r="M294" s="359">
        <f t="shared" ca="1" si="132"/>
        <v>1.3373873417501621</v>
      </c>
      <c r="N294" s="357">
        <f t="shared" ca="1" si="133"/>
        <v>76.626650256504561</v>
      </c>
      <c r="O294" s="343"/>
      <c r="P294" s="363">
        <f t="shared" ca="1" si="134"/>
        <v>7</v>
      </c>
      <c r="Q294" s="357">
        <f t="shared" ca="1" si="135"/>
        <v>432.31914893617386</v>
      </c>
      <c r="R294" s="359">
        <f t="shared" ca="1" si="136"/>
        <v>0.21696083835805396</v>
      </c>
      <c r="S294" s="360">
        <f t="shared" ca="1" si="137"/>
        <v>8.725752590435377</v>
      </c>
      <c r="T294" s="357">
        <f t="shared" ca="1" si="117"/>
        <v>85.599632912171046</v>
      </c>
      <c r="U294" s="364">
        <f t="shared" ca="1" si="118"/>
        <v>0</v>
      </c>
      <c r="V294" s="359">
        <f t="shared" ca="1" si="119"/>
        <v>1.1922075527827976</v>
      </c>
      <c r="W294" s="357">
        <f t="shared" ca="1" si="120"/>
        <v>77.721629620115792</v>
      </c>
      <c r="X294" s="343"/>
      <c r="Y294" s="367" t="str">
        <f t="shared" ca="1" si="138"/>
        <v/>
      </c>
      <c r="Z294" s="368" t="str">
        <f t="shared" ca="1" si="139"/>
        <v/>
      </c>
      <c r="AA294" s="369" t="str">
        <f t="shared" ca="1" si="140"/>
        <v/>
      </c>
      <c r="AB294" s="344"/>
      <c r="AC294" s="363" t="e">
        <f t="shared" ca="1" si="141"/>
        <v>#N/A</v>
      </c>
      <c r="AD294" s="376" t="e">
        <f t="shared" ca="1" si="142"/>
        <v>#N/A</v>
      </c>
      <c r="AE294" s="377">
        <f t="shared" ca="1" si="121"/>
        <v>271.325043473824</v>
      </c>
      <c r="AF294" s="344"/>
      <c r="AG294" s="359">
        <f t="shared" ca="1" si="143"/>
        <v>31.124930901062157</v>
      </c>
      <c r="AH294" s="357">
        <f t="shared" ca="1" si="144"/>
        <v>40.669221803284294</v>
      </c>
    </row>
    <row r="295" spans="1:34" x14ac:dyDescent="0.25">
      <c r="A295" s="402">
        <f t="shared" ca="1" si="122"/>
        <v>0.01</v>
      </c>
      <c r="B295" s="357">
        <f t="shared" ca="1" si="123"/>
        <v>2.9099999999999819</v>
      </c>
      <c r="C295" s="342"/>
      <c r="D295" s="359">
        <f t="shared" ca="1" si="124"/>
        <v>9.3475637922042001</v>
      </c>
      <c r="E295" s="360">
        <f t="shared" ca="1" si="125"/>
        <v>29.508079585863804</v>
      </c>
      <c r="F295" s="357">
        <f t="shared" ca="1" si="126"/>
        <v>30.953250389821729</v>
      </c>
      <c r="G295" s="359">
        <f t="shared" ca="1" si="127"/>
        <v>39.346417738504186</v>
      </c>
      <c r="H295" s="360">
        <f t="shared" ca="1" si="128"/>
        <v>165.40230400380668</v>
      </c>
      <c r="I295" s="357">
        <f t="shared" ca="1" si="129"/>
        <v>170.01783070790123</v>
      </c>
      <c r="J295" s="359">
        <f t="shared" ca="1" si="130"/>
        <v>60.100660032774108</v>
      </c>
      <c r="K295" s="360">
        <f t="shared" ca="1" si="131"/>
        <v>272.97759110988278</v>
      </c>
      <c r="L295" s="357">
        <f t="shared" ca="1" si="116"/>
        <v>279.51539239285097</v>
      </c>
      <c r="M295" s="359">
        <f t="shared" ca="1" si="132"/>
        <v>1.3372538846923896</v>
      </c>
      <c r="N295" s="357">
        <f t="shared" ca="1" si="133"/>
        <v>76.61900373034797</v>
      </c>
      <c r="O295" s="343"/>
      <c r="P295" s="363">
        <f t="shared" ca="1" si="134"/>
        <v>7</v>
      </c>
      <c r="Q295" s="357">
        <f t="shared" ca="1" si="135"/>
        <v>430.27659574468453</v>
      </c>
      <c r="R295" s="359">
        <f t="shared" ca="1" si="136"/>
        <v>0.21593577607731315</v>
      </c>
      <c r="S295" s="360">
        <f t="shared" ca="1" si="137"/>
        <v>8.7235932326746042</v>
      </c>
      <c r="T295" s="357">
        <f t="shared" ca="1" si="117"/>
        <v>85.578449612537867</v>
      </c>
      <c r="U295" s="364">
        <f t="shared" ca="1" si="118"/>
        <v>0</v>
      </c>
      <c r="V295" s="359">
        <f t="shared" ca="1" si="119"/>
        <v>1.1920105146018365</v>
      </c>
      <c r="W295" s="357">
        <f t="shared" ca="1" si="120"/>
        <v>77.991746432618413</v>
      </c>
      <c r="X295" s="343"/>
      <c r="Y295" s="367" t="str">
        <f t="shared" ca="1" si="138"/>
        <v/>
      </c>
      <c r="Z295" s="368" t="str">
        <f t="shared" ca="1" si="139"/>
        <v/>
      </c>
      <c r="AA295" s="369" t="str">
        <f t="shared" ca="1" si="140"/>
        <v/>
      </c>
      <c r="AB295" s="344"/>
      <c r="AC295" s="363" t="e">
        <f t="shared" ca="1" si="141"/>
        <v>#N/A</v>
      </c>
      <c r="AD295" s="376" t="e">
        <f t="shared" ca="1" si="142"/>
        <v>#N/A</v>
      </c>
      <c r="AE295" s="377">
        <f t="shared" ca="1" si="121"/>
        <v>272.97759110988278</v>
      </c>
      <c r="AF295" s="344"/>
      <c r="AG295" s="359">
        <f t="shared" ca="1" si="143"/>
        <v>30.86997429005693</v>
      </c>
      <c r="AH295" s="357">
        <f t="shared" ca="1" si="144"/>
        <v>40.413962082053359</v>
      </c>
    </row>
    <row r="296" spans="1:34" x14ac:dyDescent="0.25">
      <c r="A296" s="402">
        <f t="shared" ca="1" si="122"/>
        <v>0.01</v>
      </c>
      <c r="B296" s="357">
        <f t="shared" ca="1" si="123"/>
        <v>2.9199999999999817</v>
      </c>
      <c r="C296" s="342"/>
      <c r="D296" s="359">
        <f t="shared" ca="1" si="124"/>
        <v>9.293748515064852</v>
      </c>
      <c r="E296" s="360">
        <f t="shared" ca="1" si="125"/>
        <v>29.258548182453218</v>
      </c>
      <c r="F296" s="357">
        <f t="shared" ca="1" si="126"/>
        <v>30.699127075638597</v>
      </c>
      <c r="G296" s="359">
        <f t="shared" ca="1" si="127"/>
        <v>39.439355223654836</v>
      </c>
      <c r="H296" s="360">
        <f t="shared" ca="1" si="128"/>
        <v>165.69488948563122</v>
      </c>
      <c r="I296" s="357">
        <f t="shared" ca="1" si="129"/>
        <v>170.32398287414833</v>
      </c>
      <c r="J296" s="359">
        <f t="shared" ca="1" si="130"/>
        <v>60.494588897584904</v>
      </c>
      <c r="K296" s="360">
        <f t="shared" ca="1" si="131"/>
        <v>274.63307707732997</v>
      </c>
      <c r="L296" s="357">
        <f t="shared" ca="1" si="116"/>
        <v>281.21685993348706</v>
      </c>
      <c r="M296" s="359">
        <f t="shared" ca="1" si="132"/>
        <v>1.3371205927390484</v>
      </c>
      <c r="N296" s="357">
        <f t="shared" ca="1" si="133"/>
        <v>76.611366663978458</v>
      </c>
      <c r="O296" s="343"/>
      <c r="P296" s="363">
        <f t="shared" ca="1" si="134"/>
        <v>7</v>
      </c>
      <c r="Q296" s="357">
        <f t="shared" ca="1" si="135"/>
        <v>428.23404255319525</v>
      </c>
      <c r="R296" s="359">
        <f t="shared" ca="1" si="136"/>
        <v>0.21491071379657237</v>
      </c>
      <c r="S296" s="360">
        <f t="shared" ca="1" si="137"/>
        <v>8.7214441255366388</v>
      </c>
      <c r="T296" s="357">
        <f t="shared" ca="1" si="117"/>
        <v>85.557366871514432</v>
      </c>
      <c r="U296" s="364">
        <f t="shared" ca="1" si="118"/>
        <v>0</v>
      </c>
      <c r="V296" s="359">
        <f t="shared" ca="1" si="119"/>
        <v>1.1918131582810152</v>
      </c>
      <c r="W296" s="357">
        <f t="shared" ca="1" si="120"/>
        <v>78.259920449353842</v>
      </c>
      <c r="X296" s="343"/>
      <c r="Y296" s="367" t="str">
        <f t="shared" ca="1" si="138"/>
        <v/>
      </c>
      <c r="Z296" s="368" t="str">
        <f t="shared" ca="1" si="139"/>
        <v/>
      </c>
      <c r="AA296" s="369" t="str">
        <f t="shared" ca="1" si="140"/>
        <v/>
      </c>
      <c r="AB296" s="344"/>
      <c r="AC296" s="363" t="e">
        <f t="shared" ca="1" si="141"/>
        <v>#N/A</v>
      </c>
      <c r="AD296" s="376" t="e">
        <f t="shared" ca="1" si="142"/>
        <v>#N/A</v>
      </c>
      <c r="AE296" s="377">
        <f t="shared" ca="1" si="121"/>
        <v>274.63307707732997</v>
      </c>
      <c r="AF296" s="344"/>
      <c r="AG296" s="359">
        <f t="shared" ca="1" si="143"/>
        <v>30.615065319572984</v>
      </c>
      <c r="AH296" s="357">
        <f t="shared" ca="1" si="144"/>
        <v>40.158750211453778</v>
      </c>
    </row>
    <row r="297" spans="1:34" x14ac:dyDescent="0.25">
      <c r="A297" s="402">
        <f t="shared" ca="1" si="122"/>
        <v>0.01</v>
      </c>
      <c r="B297" s="357">
        <f t="shared" ca="1" si="123"/>
        <v>2.9299999999999815</v>
      </c>
      <c r="C297" s="342"/>
      <c r="D297" s="359">
        <f t="shared" ca="1" si="124"/>
        <v>9.2398719928457123</v>
      </c>
      <c r="E297" s="360">
        <f t="shared" ca="1" si="125"/>
        <v>29.009082108058664</v>
      </c>
      <c r="F297" s="357">
        <f t="shared" ca="1" si="126"/>
        <v>30.445066582227469</v>
      </c>
      <c r="G297" s="359">
        <f t="shared" ca="1" si="127"/>
        <v>39.53175394358329</v>
      </c>
      <c r="H297" s="360">
        <f t="shared" ca="1" si="128"/>
        <v>165.9849803067118</v>
      </c>
      <c r="I297" s="357">
        <f t="shared" ca="1" si="129"/>
        <v>170.6275864486031</v>
      </c>
      <c r="J297" s="359">
        <f t="shared" ca="1" si="130"/>
        <v>60.889444443421098</v>
      </c>
      <c r="K297" s="360">
        <f t="shared" ca="1" si="131"/>
        <v>276.29147642629169</v>
      </c>
      <c r="L297" s="357">
        <f t="shared" ca="1" si="116"/>
        <v>282.92137492676045</v>
      </c>
      <c r="M297" s="359">
        <f t="shared" ca="1" si="132"/>
        <v>1.3369874634039089</v>
      </c>
      <c r="N297" s="357">
        <f t="shared" ca="1" si="133"/>
        <v>76.603738914945595</v>
      </c>
      <c r="O297" s="343"/>
      <c r="P297" s="363">
        <f t="shared" ca="1" si="134"/>
        <v>7</v>
      </c>
      <c r="Q297" s="357">
        <f t="shared" ca="1" si="135"/>
        <v>426.19148936170592</v>
      </c>
      <c r="R297" s="359">
        <f t="shared" ca="1" si="136"/>
        <v>0.21388565151583155</v>
      </c>
      <c r="S297" s="360">
        <f t="shared" ca="1" si="137"/>
        <v>8.719305269021481</v>
      </c>
      <c r="T297" s="357">
        <f t="shared" ca="1" si="117"/>
        <v>85.536384689100728</v>
      </c>
      <c r="U297" s="364">
        <f t="shared" ca="1" si="118"/>
        <v>0</v>
      </c>
      <c r="V297" s="359">
        <f t="shared" ca="1" si="119"/>
        <v>1.1916154869576907</v>
      </c>
      <c r="W297" s="357">
        <f t="shared" ca="1" si="120"/>
        <v>78.526140389903858</v>
      </c>
      <c r="X297" s="343"/>
      <c r="Y297" s="367" t="str">
        <f t="shared" ca="1" si="138"/>
        <v/>
      </c>
      <c r="Z297" s="368" t="str">
        <f t="shared" ca="1" si="139"/>
        <v/>
      </c>
      <c r="AA297" s="369" t="str">
        <f t="shared" ca="1" si="140"/>
        <v/>
      </c>
      <c r="AB297" s="344"/>
      <c r="AC297" s="363" t="e">
        <f t="shared" ca="1" si="141"/>
        <v>#N/A</v>
      </c>
      <c r="AD297" s="376" t="e">
        <f t="shared" ca="1" si="142"/>
        <v>#N/A</v>
      </c>
      <c r="AE297" s="377">
        <f t="shared" ca="1" si="121"/>
        <v>276.29147642629169</v>
      </c>
      <c r="AF297" s="344"/>
      <c r="AG297" s="359">
        <f t="shared" ca="1" si="143"/>
        <v>30.360206240258059</v>
      </c>
      <c r="AH297" s="357">
        <f t="shared" ca="1" si="144"/>
        <v>39.903588437086398</v>
      </c>
    </row>
    <row r="298" spans="1:34" x14ac:dyDescent="0.25">
      <c r="A298" s="402">
        <f t="shared" ca="1" si="122"/>
        <v>0.01</v>
      </c>
      <c r="B298" s="357">
        <f t="shared" ca="1" si="123"/>
        <v>2.9399999999999813</v>
      </c>
      <c r="C298" s="342"/>
      <c r="D298" s="359">
        <f t="shared" ca="1" si="124"/>
        <v>9.1859349844503644</v>
      </c>
      <c r="E298" s="360">
        <f t="shared" ca="1" si="125"/>
        <v>28.759683492128971</v>
      </c>
      <c r="F298" s="357">
        <f t="shared" ca="1" si="126"/>
        <v>30.191071463364541</v>
      </c>
      <c r="G298" s="359">
        <f t="shared" ca="1" si="127"/>
        <v>39.623613293427795</v>
      </c>
      <c r="H298" s="360">
        <f t="shared" ca="1" si="128"/>
        <v>166.27257714163309</v>
      </c>
      <c r="I298" s="357">
        <f t="shared" ca="1" si="129"/>
        <v>170.92864195256288</v>
      </c>
      <c r="J298" s="359">
        <f t="shared" ca="1" si="130"/>
        <v>61.285221279606155</v>
      </c>
      <c r="K298" s="360">
        <f t="shared" ca="1" si="131"/>
        <v>277.95276421353344</v>
      </c>
      <c r="L298" s="357">
        <f t="shared" ca="1" si="116"/>
        <v>284.62891188569444</v>
      </c>
      <c r="M298" s="359">
        <f t="shared" ca="1" si="132"/>
        <v>1.3368544942202747</v>
      </c>
      <c r="N298" s="357">
        <f t="shared" ca="1" si="133"/>
        <v>76.596120341918052</v>
      </c>
      <c r="O298" s="343"/>
      <c r="P298" s="363">
        <f t="shared" ca="1" si="134"/>
        <v>7</v>
      </c>
      <c r="Q298" s="357">
        <f t="shared" ca="1" si="135"/>
        <v>424.14893617021659</v>
      </c>
      <c r="R298" s="359">
        <f t="shared" ca="1" si="136"/>
        <v>0.21286058923509071</v>
      </c>
      <c r="S298" s="360">
        <f t="shared" ca="1" si="137"/>
        <v>8.7171766631291305</v>
      </c>
      <c r="T298" s="357">
        <f t="shared" ca="1" si="117"/>
        <v>85.51550306529677</v>
      </c>
      <c r="U298" s="364">
        <f t="shared" ca="1" si="118"/>
        <v>0</v>
      </c>
      <c r="V298" s="359">
        <f t="shared" ca="1" si="119"/>
        <v>1.1914175037667041</v>
      </c>
      <c r="W298" s="357">
        <f t="shared" ca="1" si="120"/>
        <v>78.790395116616168</v>
      </c>
      <c r="X298" s="343"/>
      <c r="Y298" s="367" t="str">
        <f t="shared" ca="1" si="138"/>
        <v/>
      </c>
      <c r="Z298" s="368" t="str">
        <f t="shared" ca="1" si="139"/>
        <v/>
      </c>
      <c r="AA298" s="369" t="str">
        <f t="shared" ca="1" si="140"/>
        <v/>
      </c>
      <c r="AB298" s="344"/>
      <c r="AC298" s="363" t="e">
        <f t="shared" ca="1" si="141"/>
        <v>#N/A</v>
      </c>
      <c r="AD298" s="376" t="e">
        <f t="shared" ca="1" si="142"/>
        <v>#N/A</v>
      </c>
      <c r="AE298" s="377">
        <f t="shared" ca="1" si="121"/>
        <v>277.95276421353344</v>
      </c>
      <c r="AF298" s="344"/>
      <c r="AG298" s="359">
        <f t="shared" ca="1" si="143"/>
        <v>30.105399288189908</v>
      </c>
      <c r="AH298" s="357">
        <f t="shared" ca="1" si="144"/>
        <v>39.648478990013665</v>
      </c>
    </row>
    <row r="299" spans="1:34" x14ac:dyDescent="0.25">
      <c r="A299" s="402">
        <f t="shared" ca="1" si="122"/>
        <v>0.01</v>
      </c>
      <c r="B299" s="357">
        <f t="shared" ca="1" si="123"/>
        <v>2.9499999999999811</v>
      </c>
      <c r="C299" s="342"/>
      <c r="D299" s="359">
        <f t="shared" ca="1" si="124"/>
        <v>9.1319382432692091</v>
      </c>
      <c r="E299" s="360">
        <f t="shared" ca="1" si="125"/>
        <v>28.510354450321131</v>
      </c>
      <c r="F299" s="357">
        <f t="shared" ca="1" si="126"/>
        <v>29.937144268647746</v>
      </c>
      <c r="G299" s="359">
        <f t="shared" ca="1" si="127"/>
        <v>39.714932675860489</v>
      </c>
      <c r="H299" s="360">
        <f t="shared" ca="1" si="128"/>
        <v>166.55768068613631</v>
      </c>
      <c r="I299" s="357">
        <f t="shared" ca="1" si="129"/>
        <v>171.22714992953973</v>
      </c>
      <c r="J299" s="359">
        <f t="shared" ca="1" si="130"/>
        <v>61.681914009452598</v>
      </c>
      <c r="K299" s="360">
        <f t="shared" ca="1" si="131"/>
        <v>279.61691550267227</v>
      </c>
      <c r="L299" s="357">
        <f t="shared" ca="1" si="116"/>
        <v>286.33944532861358</v>
      </c>
      <c r="M299" s="359">
        <f t="shared" ca="1" si="132"/>
        <v>1.336721682740649</v>
      </c>
      <c r="N299" s="357">
        <f t="shared" ca="1" si="133"/>
        <v>76.588510804664608</v>
      </c>
      <c r="O299" s="343"/>
      <c r="P299" s="363">
        <f t="shared" ca="1" si="134"/>
        <v>7</v>
      </c>
      <c r="Q299" s="357">
        <f t="shared" ca="1" si="135"/>
        <v>422.10638297872731</v>
      </c>
      <c r="R299" s="359">
        <f t="shared" ca="1" si="136"/>
        <v>0.21183552695434993</v>
      </c>
      <c r="S299" s="360">
        <f t="shared" ca="1" si="137"/>
        <v>8.7150583078595876</v>
      </c>
      <c r="T299" s="357">
        <f t="shared" ca="1" si="117"/>
        <v>85.494722000102556</v>
      </c>
      <c r="U299" s="364">
        <f t="shared" ca="1" si="118"/>
        <v>0</v>
      </c>
      <c r="V299" s="359">
        <f t="shared" ca="1" si="119"/>
        <v>1.1912192118403453</v>
      </c>
      <c r="W299" s="357">
        <f t="shared" ca="1" si="120"/>
        <v>79.052673634451878</v>
      </c>
      <c r="X299" s="343"/>
      <c r="Y299" s="367" t="str">
        <f t="shared" ca="1" si="138"/>
        <v/>
      </c>
      <c r="Z299" s="368" t="str">
        <f t="shared" ca="1" si="139"/>
        <v/>
      </c>
      <c r="AA299" s="369" t="str">
        <f t="shared" ca="1" si="140"/>
        <v/>
      </c>
      <c r="AB299" s="344"/>
      <c r="AC299" s="363" t="e">
        <f t="shared" ca="1" si="141"/>
        <v>#N/A</v>
      </c>
      <c r="AD299" s="376" t="e">
        <f t="shared" ca="1" si="142"/>
        <v>#N/A</v>
      </c>
      <c r="AE299" s="377">
        <f t="shared" ca="1" si="121"/>
        <v>279.61691550267227</v>
      </c>
      <c r="AF299" s="344"/>
      <c r="AG299" s="359">
        <f t="shared" ca="1" si="143"/>
        <v>29.850646684849433</v>
      </c>
      <c r="AH299" s="357">
        <f t="shared" ca="1" si="144"/>
        <v>39.393424086732161</v>
      </c>
    </row>
    <row r="300" spans="1:34" x14ac:dyDescent="0.25">
      <c r="A300" s="402">
        <f t="shared" ca="1" si="122"/>
        <v>0.01</v>
      </c>
      <c r="B300" s="357">
        <f t="shared" ca="1" si="123"/>
        <v>2.9599999999999809</v>
      </c>
      <c r="C300" s="342"/>
      <c r="D300" s="359">
        <f t="shared" ca="1" si="124"/>
        <v>9.0778825171990896</v>
      </c>
      <c r="E300" s="360">
        <f t="shared" ca="1" si="125"/>
        <v>28.261097084470784</v>
      </c>
      <c r="F300" s="357">
        <f t="shared" ca="1" si="126"/>
        <v>29.683287543901734</v>
      </c>
      <c r="G300" s="359">
        <f t="shared" ca="1" si="127"/>
        <v>39.805711501032476</v>
      </c>
      <c r="H300" s="360">
        <f t="shared" ca="1" si="128"/>
        <v>166.84029165698101</v>
      </c>
      <c r="I300" s="357">
        <f t="shared" ca="1" si="129"/>
        <v>171.5231109451141</v>
      </c>
      <c r="J300" s="359">
        <f t="shared" ca="1" si="130"/>
        <v>62.079517230337061</v>
      </c>
      <c r="K300" s="360">
        <f t="shared" ca="1" si="131"/>
        <v>281.28390536438786</v>
      </c>
      <c r="L300" s="357">
        <f t="shared" ca="1" si="116"/>
        <v>288.05294977936546</v>
      </c>
      <c r="M300" s="359">
        <f t="shared" ca="1" si="132"/>
        <v>1.3365890265364091</v>
      </c>
      <c r="N300" s="357">
        <f t="shared" ca="1" si="133"/>
        <v>76.58091016403543</v>
      </c>
      <c r="O300" s="343"/>
      <c r="P300" s="363">
        <f t="shared" ca="1" si="134"/>
        <v>7</v>
      </c>
      <c r="Q300" s="357">
        <f t="shared" ca="1" si="135"/>
        <v>420.06382978723798</v>
      </c>
      <c r="R300" s="359">
        <f t="shared" ca="1" si="136"/>
        <v>0.21081046467360912</v>
      </c>
      <c r="S300" s="360">
        <f t="shared" ca="1" si="137"/>
        <v>8.7129502032128521</v>
      </c>
      <c r="T300" s="357">
        <f t="shared" ca="1" si="117"/>
        <v>85.474041493518087</v>
      </c>
      <c r="U300" s="364">
        <f t="shared" ca="1" si="118"/>
        <v>0</v>
      </c>
      <c r="V300" s="359">
        <f t="shared" ca="1" si="119"/>
        <v>1.1910206143083244</v>
      </c>
      <c r="W300" s="357">
        <f t="shared" ca="1" si="120"/>
        <v>79.312965090826026</v>
      </c>
      <c r="X300" s="343"/>
      <c r="Y300" s="367" t="str">
        <f t="shared" ca="1" si="138"/>
        <v/>
      </c>
      <c r="Z300" s="368" t="str">
        <f t="shared" ca="1" si="139"/>
        <v/>
      </c>
      <c r="AA300" s="369" t="str">
        <f t="shared" ca="1" si="140"/>
        <v/>
      </c>
      <c r="AB300" s="344"/>
      <c r="AC300" s="363" t="e">
        <f t="shared" ca="1" si="141"/>
        <v>#N/A</v>
      </c>
      <c r="AD300" s="376" t="e">
        <f t="shared" ca="1" si="142"/>
        <v>#N/A</v>
      </c>
      <c r="AE300" s="377">
        <f t="shared" ca="1" si="121"/>
        <v>281.28390536438786</v>
      </c>
      <c r="AF300" s="344"/>
      <c r="AG300" s="359">
        <f t="shared" ca="1" si="143"/>
        <v>29.595950637094958</v>
      </c>
      <c r="AH300" s="357">
        <f t="shared" ca="1" si="144"/>
        <v>39.138425929146266</v>
      </c>
    </row>
    <row r="301" spans="1:34" x14ac:dyDescent="0.25">
      <c r="A301" s="402">
        <f t="shared" ca="1" si="122"/>
        <v>0.01</v>
      </c>
      <c r="B301" s="357">
        <f t="shared" ca="1" si="123"/>
        <v>2.9699999999999807</v>
      </c>
      <c r="C301" s="342"/>
      <c r="D301" s="359">
        <f t="shared" ca="1" si="124"/>
        <v>9.023768548662451</v>
      </c>
      <c r="E301" s="360">
        <f t="shared" ca="1" si="125"/>
        <v>28.011913482563571</v>
      </c>
      <c r="F301" s="357">
        <f t="shared" ca="1" si="126"/>
        <v>29.42950383160505</v>
      </c>
      <c r="G301" s="359">
        <f t="shared" ca="1" si="127"/>
        <v>39.895949186519104</v>
      </c>
      <c r="H301" s="360">
        <f t="shared" ca="1" si="128"/>
        <v>167.12041079180665</v>
      </c>
      <c r="I301" s="357">
        <f t="shared" ca="1" si="129"/>
        <v>171.81652558678843</v>
      </c>
      <c r="J301" s="359">
        <f t="shared" ca="1" si="130"/>
        <v>62.478025533774819</v>
      </c>
      <c r="K301" s="360">
        <f t="shared" ca="1" si="131"/>
        <v>282.95370887663182</v>
      </c>
      <c r="L301" s="357">
        <f t="shared" ca="1" si="116"/>
        <v>289.76939976754056</v>
      </c>
      <c r="M301" s="359">
        <f t="shared" ca="1" si="132"/>
        <v>1.3364565231974852</v>
      </c>
      <c r="N301" s="357">
        <f t="shared" ca="1" si="133"/>
        <v>76.573318281943699</v>
      </c>
      <c r="O301" s="343"/>
      <c r="P301" s="363">
        <f t="shared" ca="1" si="134"/>
        <v>7</v>
      </c>
      <c r="Q301" s="357">
        <f t="shared" ca="1" si="135"/>
        <v>418.02127659574865</v>
      </c>
      <c r="R301" s="359">
        <f t="shared" ca="1" si="136"/>
        <v>0.2097854023928683</v>
      </c>
      <c r="S301" s="360">
        <f t="shared" ca="1" si="137"/>
        <v>8.710852349188924</v>
      </c>
      <c r="T301" s="357">
        <f t="shared" ca="1" si="117"/>
        <v>85.453461545543348</v>
      </c>
      <c r="U301" s="364">
        <f t="shared" ca="1" si="118"/>
        <v>0</v>
      </c>
      <c r="V301" s="359">
        <f t="shared" ca="1" si="119"/>
        <v>1.1908217142977378</v>
      </c>
      <c r="W301" s="357">
        <f t="shared" ca="1" si="120"/>
        <v>79.571258775440526</v>
      </c>
      <c r="X301" s="343"/>
      <c r="Y301" s="367" t="str">
        <f t="shared" ca="1" si="138"/>
        <v/>
      </c>
      <c r="Z301" s="368" t="str">
        <f t="shared" ca="1" si="139"/>
        <v/>
      </c>
      <c r="AA301" s="369" t="str">
        <f t="shared" ca="1" si="140"/>
        <v/>
      </c>
      <c r="AB301" s="344"/>
      <c r="AC301" s="363" t="e">
        <f t="shared" ca="1" si="141"/>
        <v>#N/A</v>
      </c>
      <c r="AD301" s="376" t="e">
        <f t="shared" ca="1" si="142"/>
        <v>#N/A</v>
      </c>
      <c r="AE301" s="377">
        <f t="shared" ca="1" si="121"/>
        <v>282.95370887663182</v>
      </c>
      <c r="AF301" s="344"/>
      <c r="AG301" s="359">
        <f t="shared" ca="1" si="143"/>
        <v>29.341313337137393</v>
      </c>
      <c r="AH301" s="357">
        <f t="shared" ca="1" si="144"/>
        <v>38.883486704542761</v>
      </c>
    </row>
    <row r="302" spans="1:34" x14ac:dyDescent="0.25">
      <c r="A302" s="402">
        <f t="shared" ca="1" si="122"/>
        <v>0.01</v>
      </c>
      <c r="B302" s="357">
        <f t="shared" ca="1" si="123"/>
        <v>2.9799999999999804</v>
      </c>
      <c r="C302" s="342"/>
      <c r="D302" s="359">
        <f t="shared" ca="1" si="124"/>
        <v>8.8855225157355253</v>
      </c>
      <c r="E302" s="360">
        <f t="shared" ca="1" si="125"/>
        <v>27.41062523157953</v>
      </c>
      <c r="F302" s="357">
        <f t="shared" ca="1" si="126"/>
        <v>28.814837947900163</v>
      </c>
      <c r="G302" s="359">
        <f t="shared" ca="1" si="127"/>
        <v>39.984804411676457</v>
      </c>
      <c r="H302" s="360">
        <f t="shared" ca="1" si="128"/>
        <v>167.39451704412244</v>
      </c>
      <c r="I302" s="357">
        <f t="shared" ca="1" si="129"/>
        <v>172.10377369562534</v>
      </c>
      <c r="J302" s="359">
        <f t="shared" ca="1" si="130"/>
        <v>62.877429301765794</v>
      </c>
      <c r="K302" s="360">
        <f t="shared" ca="1" si="131"/>
        <v>284.62628351581145</v>
      </c>
      <c r="L302" s="357">
        <f t="shared" ca="1" si="116"/>
        <v>291.48875172744084</v>
      </c>
      <c r="M302" s="359">
        <f t="shared" ca="1" si="132"/>
        <v>1.336324167547567</v>
      </c>
      <c r="N302" s="357">
        <f t="shared" ca="1" si="133"/>
        <v>76.565734861808679</v>
      </c>
      <c r="O302" s="343"/>
      <c r="P302" s="363">
        <f t="shared" ca="1" si="134"/>
        <v>8</v>
      </c>
      <c r="Q302" s="357">
        <f t="shared" ca="1" si="135"/>
        <v>412.82608695653812</v>
      </c>
      <c r="R302" s="359">
        <f t="shared" ca="1" si="136"/>
        <v>0.20717817876577282</v>
      </c>
      <c r="S302" s="360">
        <f t="shared" ca="1" si="137"/>
        <v>8.7087805674012664</v>
      </c>
      <c r="T302" s="357">
        <f t="shared" ca="1" si="117"/>
        <v>85.433137366206424</v>
      </c>
      <c r="U302" s="364">
        <f t="shared" ca="1" si="118"/>
        <v>0</v>
      </c>
      <c r="V302" s="359">
        <f t="shared" ca="1" si="119"/>
        <v>1.1906225170300315</v>
      </c>
      <c r="W302" s="357">
        <f t="shared" ca="1" si="120"/>
        <v>79.824185497471035</v>
      </c>
      <c r="X302" s="343"/>
      <c r="Y302" s="367" t="str">
        <f t="shared" ca="1" si="138"/>
        <v/>
      </c>
      <c r="Z302" s="368" t="str">
        <f t="shared" ca="1" si="139"/>
        <v/>
      </c>
      <c r="AA302" s="369" t="str">
        <f t="shared" ca="1" si="140"/>
        <v/>
      </c>
      <c r="AB302" s="344"/>
      <c r="AC302" s="363" t="e">
        <f t="shared" ca="1" si="141"/>
        <v>#N/A</v>
      </c>
      <c r="AD302" s="376" t="e">
        <f t="shared" ca="1" si="142"/>
        <v>#N/A</v>
      </c>
      <c r="AE302" s="377">
        <f t="shared" ca="1" si="121"/>
        <v>284.62628351581145</v>
      </c>
      <c r="AF302" s="344"/>
      <c r="AG302" s="359">
        <f t="shared" ca="1" si="143"/>
        <v>28.724660137841752</v>
      </c>
      <c r="AH302" s="357">
        <f t="shared" ca="1" si="144"/>
        <v>38.266531760891766</v>
      </c>
    </row>
    <row r="303" spans="1:34" x14ac:dyDescent="0.25">
      <c r="A303" s="402">
        <f t="shared" ca="1" si="122"/>
        <v>0.01</v>
      </c>
      <c r="B303" s="357">
        <f t="shared" ca="1" si="123"/>
        <v>2.9899999999999802</v>
      </c>
      <c r="C303" s="342"/>
      <c r="D303" s="359">
        <f t="shared" ca="1" si="124"/>
        <v>8.6630203239427885</v>
      </c>
      <c r="E303" s="360">
        <f t="shared" ca="1" si="125"/>
        <v>26.457330167215865</v>
      </c>
      <c r="F303" s="357">
        <f t="shared" ca="1" si="126"/>
        <v>27.839508629106881</v>
      </c>
      <c r="G303" s="359">
        <f t="shared" ca="1" si="127"/>
        <v>40.071434614915887</v>
      </c>
      <c r="H303" s="360">
        <f t="shared" ca="1" si="128"/>
        <v>167.6590903457946</v>
      </c>
      <c r="I303" s="357">
        <f t="shared" ca="1" si="129"/>
        <v>172.38123577604608</v>
      </c>
      <c r="J303" s="359">
        <f t="shared" ca="1" si="130"/>
        <v>63.277710496898756</v>
      </c>
      <c r="K303" s="360">
        <f t="shared" ca="1" si="131"/>
        <v>286.30155155276105</v>
      </c>
      <c r="L303" s="357">
        <f t="shared" ca="1" si="116"/>
        <v>293.21092590019157</v>
      </c>
      <c r="M303" s="359">
        <f t="shared" ca="1" si="132"/>
        <v>1.3361919516731142</v>
      </c>
      <c r="N303" s="357">
        <f t="shared" ca="1" si="133"/>
        <v>76.5581594502179</v>
      </c>
      <c r="O303" s="343"/>
      <c r="P303" s="363">
        <f t="shared" ca="1" si="134"/>
        <v>8</v>
      </c>
      <c r="Q303" s="357">
        <f t="shared" ca="1" si="135"/>
        <v>404.47826086958179</v>
      </c>
      <c r="R303" s="359">
        <f t="shared" ca="1" si="136"/>
        <v>0.20298879379231038</v>
      </c>
      <c r="S303" s="360">
        <f t="shared" ca="1" si="137"/>
        <v>8.7067506794633438</v>
      </c>
      <c r="T303" s="357">
        <f t="shared" ca="1" si="117"/>
        <v>85.413224165535411</v>
      </c>
      <c r="U303" s="364">
        <f t="shared" ca="1" si="118"/>
        <v>0</v>
      </c>
      <c r="V303" s="359">
        <f t="shared" ca="1" si="119"/>
        <v>1.1904230319153184</v>
      </c>
      <c r="W303" s="357">
        <f t="shared" ca="1" si="120"/>
        <v>80.068357259315476</v>
      </c>
      <c r="X303" s="343"/>
      <c r="Y303" s="367" t="str">
        <f t="shared" ca="1" si="138"/>
        <v/>
      </c>
      <c r="Z303" s="368" t="str">
        <f t="shared" ca="1" si="139"/>
        <v/>
      </c>
      <c r="AA303" s="369" t="str">
        <f t="shared" ca="1" si="140"/>
        <v/>
      </c>
      <c r="AB303" s="344"/>
      <c r="AC303" s="363" t="e">
        <f t="shared" ca="1" si="141"/>
        <v>#N/A</v>
      </c>
      <c r="AD303" s="376" t="e">
        <f t="shared" ca="1" si="142"/>
        <v>#N/A</v>
      </c>
      <c r="AE303" s="377">
        <f t="shared" ca="1" si="121"/>
        <v>286.30155155276105</v>
      </c>
      <c r="AF303" s="344"/>
      <c r="AG303" s="359">
        <f t="shared" ca="1" si="143"/>
        <v>27.746057371934327</v>
      </c>
      <c r="AH303" s="357">
        <f t="shared" ca="1" si="144"/>
        <v>37.287627419707093</v>
      </c>
    </row>
    <row r="304" spans="1:34" x14ac:dyDescent="0.25">
      <c r="A304" s="402">
        <f t="shared" ca="1" si="122"/>
        <v>0.01</v>
      </c>
      <c r="B304" s="357">
        <f t="shared" ca="1" si="123"/>
        <v>2.99999999999998</v>
      </c>
      <c r="C304" s="342"/>
      <c r="D304" s="359">
        <f t="shared" ca="1" si="124"/>
        <v>8.4403480575561467</v>
      </c>
      <c r="E304" s="360">
        <f t="shared" ca="1" si="125"/>
        <v>25.50446006689792</v>
      </c>
      <c r="F304" s="357">
        <f t="shared" ca="1" si="126"/>
        <v>26.864790314400043</v>
      </c>
      <c r="G304" s="359">
        <f t="shared" ca="1" si="127"/>
        <v>40.155838095491447</v>
      </c>
      <c r="H304" s="360">
        <f t="shared" ca="1" si="128"/>
        <v>167.91413494646358</v>
      </c>
      <c r="I304" s="357">
        <f t="shared" ca="1" si="129"/>
        <v>172.64891557137133</v>
      </c>
      <c r="J304" s="359">
        <f t="shared" ca="1" si="130"/>
        <v>63.67884686045079</v>
      </c>
      <c r="K304" s="360">
        <f t="shared" ca="1" si="131"/>
        <v>287.97941767922237</v>
      </c>
      <c r="L304" s="357">
        <f t="shared" ca="1" si="116"/>
        <v>294.93582445057564</v>
      </c>
      <c r="M304" s="359">
        <f t="shared" ca="1" si="132"/>
        <v>1.3360598677209916</v>
      </c>
      <c r="N304" s="357">
        <f t="shared" ca="1" si="133"/>
        <v>76.550591597219864</v>
      </c>
      <c r="O304" s="343"/>
      <c r="P304" s="363">
        <f t="shared" ca="1" si="134"/>
        <v>8</v>
      </c>
      <c r="Q304" s="357">
        <f t="shared" ca="1" si="135"/>
        <v>396.13043478262546</v>
      </c>
      <c r="R304" s="359">
        <f t="shared" ca="1" si="136"/>
        <v>0.19879940881884794</v>
      </c>
      <c r="S304" s="360">
        <f t="shared" ca="1" si="137"/>
        <v>8.7047626853751545</v>
      </c>
      <c r="T304" s="357">
        <f t="shared" ca="1" si="117"/>
        <v>85.393721943530267</v>
      </c>
      <c r="U304" s="364">
        <f t="shared" ca="1" si="118"/>
        <v>0</v>
      </c>
      <c r="V304" s="359">
        <f t="shared" ca="1" si="119"/>
        <v>1.1902232704505176</v>
      </c>
      <c r="W304" s="357">
        <f t="shared" ca="1" si="120"/>
        <v>80.303738588510939</v>
      </c>
      <c r="X304" s="343"/>
      <c r="Y304" s="367" t="str">
        <f t="shared" ca="1" si="138"/>
        <v/>
      </c>
      <c r="Z304" s="368" t="str">
        <f t="shared" ca="1" si="139"/>
        <v/>
      </c>
      <c r="AA304" s="369" t="str">
        <f t="shared" ca="1" si="140"/>
        <v/>
      </c>
      <c r="AB304" s="344"/>
      <c r="AC304" s="363">
        <f t="shared" ca="1" si="141"/>
        <v>2.99999999999998</v>
      </c>
      <c r="AD304" s="376">
        <f t="shared" ca="1" si="142"/>
        <v>63.67884686045079</v>
      </c>
      <c r="AE304" s="377">
        <f t="shared" ca="1" si="121"/>
        <v>287.97941767922237</v>
      </c>
      <c r="AF304" s="344"/>
      <c r="AG304" s="359">
        <f t="shared" ca="1" si="143"/>
        <v>26.767828929402746</v>
      </c>
      <c r="AH304" s="357">
        <f t="shared" ca="1" si="144"/>
        <v>36.309097553495043</v>
      </c>
    </row>
    <row r="305" spans="1:34" x14ac:dyDescent="0.25">
      <c r="A305" s="402">
        <f t="shared" ca="1" si="122"/>
        <v>0.01</v>
      </c>
      <c r="B305" s="357">
        <f t="shared" ca="1" si="123"/>
        <v>3.0099999999999798</v>
      </c>
      <c r="C305" s="342"/>
      <c r="D305" s="359">
        <f t="shared" ca="1" si="124"/>
        <v>8.2175108367847791</v>
      </c>
      <c r="E305" s="360">
        <f t="shared" ca="1" si="125"/>
        <v>24.552032745789674</v>
      </c>
      <c r="F305" s="357">
        <f t="shared" ca="1" si="126"/>
        <v>25.890727998706481</v>
      </c>
      <c r="G305" s="359">
        <f t="shared" ca="1" si="127"/>
        <v>40.238013203859296</v>
      </c>
      <c r="H305" s="360">
        <f t="shared" ca="1" si="128"/>
        <v>168.15965527392149</v>
      </c>
      <c r="I305" s="357">
        <f t="shared" ca="1" si="129"/>
        <v>172.90681700973522</v>
      </c>
      <c r="J305" s="359">
        <f t="shared" ca="1" si="130"/>
        <v>64.080816116947545</v>
      </c>
      <c r="K305" s="360">
        <f t="shared" ca="1" si="131"/>
        <v>289.65978663032428</v>
      </c>
      <c r="L305" s="357">
        <f t="shared" ca="1" si="116"/>
        <v>296.66334958154005</v>
      </c>
      <c r="M305" s="359">
        <f t="shared" ca="1" si="132"/>
        <v>1.3359279078955866</v>
      </c>
      <c r="N305" s="357">
        <f t="shared" ca="1" si="133"/>
        <v>76.543030856158879</v>
      </c>
      <c r="O305" s="343"/>
      <c r="P305" s="363">
        <f t="shared" ca="1" si="134"/>
        <v>8</v>
      </c>
      <c r="Q305" s="357">
        <f t="shared" ca="1" si="135"/>
        <v>387.78260869566913</v>
      </c>
      <c r="R305" s="359">
        <f t="shared" ca="1" si="136"/>
        <v>0.1946100238453855</v>
      </c>
      <c r="S305" s="360">
        <f t="shared" ca="1" si="137"/>
        <v>8.7028165851367003</v>
      </c>
      <c r="T305" s="357">
        <f t="shared" ca="1" si="117"/>
        <v>85.374630700191034</v>
      </c>
      <c r="U305" s="364">
        <f t="shared" ca="1" si="118"/>
        <v>0</v>
      </c>
      <c r="V305" s="359">
        <f t="shared" ca="1" si="119"/>
        <v>1.1900232441200458</v>
      </c>
      <c r="W305" s="357">
        <f t="shared" ca="1" si="120"/>
        <v>80.530295801436878</v>
      </c>
      <c r="X305" s="343"/>
      <c r="Y305" s="367" t="str">
        <f t="shared" ca="1" si="138"/>
        <v/>
      </c>
      <c r="Z305" s="368" t="str">
        <f t="shared" ca="1" si="139"/>
        <v/>
      </c>
      <c r="AA305" s="369" t="str">
        <f t="shared" ca="1" si="140"/>
        <v/>
      </c>
      <c r="AB305" s="344"/>
      <c r="AC305" s="363" t="e">
        <f t="shared" ca="1" si="141"/>
        <v>#N/A</v>
      </c>
      <c r="AD305" s="376" t="e">
        <f t="shared" ca="1" si="142"/>
        <v>#N/A</v>
      </c>
      <c r="AE305" s="377">
        <f t="shared" ca="1" si="121"/>
        <v>289.65978663032428</v>
      </c>
      <c r="AF305" s="344"/>
      <c r="AG305" s="359">
        <f t="shared" ca="1" si="143"/>
        <v>25.789993291650482</v>
      </c>
      <c r="AH305" s="357">
        <f t="shared" ca="1" si="144"/>
        <v>35.330960626275044</v>
      </c>
    </row>
    <row r="306" spans="1:34" x14ac:dyDescent="0.25">
      <c r="A306" s="402">
        <f t="shared" ca="1" si="122"/>
        <v>0.01</v>
      </c>
      <c r="B306" s="357">
        <f t="shared" ca="1" si="123"/>
        <v>3.0199999999999796</v>
      </c>
      <c r="C306" s="342"/>
      <c r="D306" s="359">
        <f t="shared" ca="1" si="124"/>
        <v>7.9945137125325285</v>
      </c>
      <c r="E306" s="360">
        <f t="shared" ca="1" si="125"/>
        <v>23.600065829323022</v>
      </c>
      <c r="F306" s="357">
        <f t="shared" ca="1" si="126"/>
        <v>24.917370580545828</v>
      </c>
      <c r="G306" s="359">
        <f t="shared" ca="1" si="127"/>
        <v>40.317958340984624</v>
      </c>
      <c r="H306" s="360">
        <f t="shared" ca="1" si="128"/>
        <v>168.39565593221471</v>
      </c>
      <c r="I306" s="357">
        <f t="shared" ca="1" si="129"/>
        <v>173.15494420208222</v>
      </c>
      <c r="J306" s="359">
        <f t="shared" ca="1" si="130"/>
        <v>64.483595974671772</v>
      </c>
      <c r="K306" s="360">
        <f t="shared" ca="1" si="131"/>
        <v>291.34256318635494</v>
      </c>
      <c r="L306" s="357">
        <f t="shared" ca="1" si="116"/>
        <v>298.39340353603649</v>
      </c>
      <c r="M306" s="359">
        <f t="shared" ca="1" si="132"/>
        <v>1.335796064455977</v>
      </c>
      <c r="N306" s="357">
        <f t="shared" ca="1" si="133"/>
        <v>76.535476783512763</v>
      </c>
      <c r="O306" s="343"/>
      <c r="P306" s="363">
        <f t="shared" ca="1" si="134"/>
        <v>8</v>
      </c>
      <c r="Q306" s="357">
        <f t="shared" ca="1" si="135"/>
        <v>379.43478260871274</v>
      </c>
      <c r="R306" s="359">
        <f t="shared" ca="1" si="136"/>
        <v>0.19042063887192304</v>
      </c>
      <c r="S306" s="360">
        <f t="shared" ca="1" si="137"/>
        <v>8.7009123787479812</v>
      </c>
      <c r="T306" s="357">
        <f t="shared" ca="1" si="117"/>
        <v>85.355950435517698</v>
      </c>
      <c r="U306" s="364">
        <f t="shared" ca="1" si="118"/>
        <v>0</v>
      </c>
      <c r="V306" s="359">
        <f t="shared" ca="1" si="119"/>
        <v>1.189822964395586</v>
      </c>
      <c r="W306" s="357">
        <f t="shared" ca="1" si="120"/>
        <v>80.747996998468082</v>
      </c>
      <c r="X306" s="343"/>
      <c r="Y306" s="367" t="str">
        <f t="shared" ca="1" si="138"/>
        <v/>
      </c>
      <c r="Z306" s="368" t="str">
        <f t="shared" ca="1" si="139"/>
        <v/>
      </c>
      <c r="AA306" s="369" t="str">
        <f t="shared" ca="1" si="140"/>
        <v/>
      </c>
      <c r="AB306" s="344"/>
      <c r="AC306" s="363" t="e">
        <f t="shared" ca="1" si="141"/>
        <v>#N/A</v>
      </c>
      <c r="AD306" s="376" t="e">
        <f t="shared" ca="1" si="142"/>
        <v>#N/A</v>
      </c>
      <c r="AE306" s="377">
        <f t="shared" ca="1" si="121"/>
        <v>291.34256318635494</v>
      </c>
      <c r="AF306" s="344"/>
      <c r="AG306" s="359">
        <f t="shared" ca="1" si="143"/>
        <v>24.812568739742495</v>
      </c>
      <c r="AH306" s="357">
        <f t="shared" ca="1" si="144"/>
        <v>34.353234901819199</v>
      </c>
    </row>
    <row r="307" spans="1:34" x14ac:dyDescent="0.25">
      <c r="A307" s="402">
        <f t="shared" ca="1" si="122"/>
        <v>0.01</v>
      </c>
      <c r="B307" s="357">
        <f t="shared" ca="1" si="123"/>
        <v>3.0299999999999794</v>
      </c>
      <c r="C307" s="342"/>
      <c r="D307" s="359">
        <f t="shared" ca="1" si="124"/>
        <v>7.7713616665196623</v>
      </c>
      <c r="E307" s="360">
        <f t="shared" ca="1" si="125"/>
        <v>22.648576752626525</v>
      </c>
      <c r="F307" s="357">
        <f t="shared" ca="1" si="126"/>
        <v>23.944771685515523</v>
      </c>
      <c r="G307" s="359">
        <f t="shared" ca="1" si="127"/>
        <v>40.395671957649824</v>
      </c>
      <c r="H307" s="360">
        <f t="shared" ca="1" si="128"/>
        <v>168.62214169974098</v>
      </c>
      <c r="I307" s="357">
        <f t="shared" ca="1" si="129"/>
        <v>173.39330144015824</v>
      </c>
      <c r="J307" s="359">
        <f t="shared" ca="1" si="130"/>
        <v>64.887164126164947</v>
      </c>
      <c r="K307" s="360">
        <f t="shared" ca="1" si="131"/>
        <v>293.02765217451474</v>
      </c>
      <c r="L307" s="357">
        <f t="shared" ca="1" si="116"/>
        <v>300.12588859884158</v>
      </c>
      <c r="M307" s="359">
        <f t="shared" ca="1" si="132"/>
        <v>1.3356643297131512</v>
      </c>
      <c r="N307" s="357">
        <f t="shared" ca="1" si="133"/>
        <v>76.527928938733595</v>
      </c>
      <c r="O307" s="343"/>
      <c r="P307" s="363">
        <f t="shared" ca="1" si="134"/>
        <v>8</v>
      </c>
      <c r="Q307" s="357">
        <f t="shared" ca="1" si="135"/>
        <v>371.08695652175641</v>
      </c>
      <c r="R307" s="359">
        <f t="shared" ca="1" si="136"/>
        <v>0.1862312538984606</v>
      </c>
      <c r="S307" s="360">
        <f t="shared" ca="1" si="137"/>
        <v>8.6990500662089971</v>
      </c>
      <c r="T307" s="357">
        <f t="shared" ca="1" si="117"/>
        <v>85.33768114951026</v>
      </c>
      <c r="U307" s="364">
        <f t="shared" ca="1" si="118"/>
        <v>0</v>
      </c>
      <c r="V307" s="359">
        <f t="shared" ca="1" si="119"/>
        <v>1.189622442735861</v>
      </c>
      <c r="W307" s="357">
        <f t="shared" ca="1" si="120"/>
        <v>80.956812058952821</v>
      </c>
      <c r="X307" s="343"/>
      <c r="Y307" s="367" t="str">
        <f t="shared" ca="1" si="138"/>
        <v/>
      </c>
      <c r="Z307" s="368" t="str">
        <f t="shared" ca="1" si="139"/>
        <v/>
      </c>
      <c r="AA307" s="369" t="str">
        <f t="shared" ca="1" si="140"/>
        <v/>
      </c>
      <c r="AB307" s="344"/>
      <c r="AC307" s="363" t="e">
        <f t="shared" ca="1" si="141"/>
        <v>#N/A</v>
      </c>
      <c r="AD307" s="376" t="e">
        <f t="shared" ca="1" si="142"/>
        <v>#N/A</v>
      </c>
      <c r="AE307" s="377">
        <f t="shared" ca="1" si="121"/>
        <v>293.02765217451474</v>
      </c>
      <c r="AF307" s="344"/>
      <c r="AG307" s="359">
        <f t="shared" ca="1" si="143"/>
        <v>23.835573353864923</v>
      </c>
      <c r="AH307" s="357">
        <f t="shared" ca="1" si="144"/>
        <v>33.375938443105966</v>
      </c>
    </row>
    <row r="308" spans="1:34" x14ac:dyDescent="0.25">
      <c r="A308" s="402">
        <f t="shared" ca="1" si="122"/>
        <v>0.01</v>
      </c>
      <c r="B308" s="357">
        <f t="shared" ca="1" si="123"/>
        <v>3.0399999999999792</v>
      </c>
      <c r="C308" s="342"/>
      <c r="D308" s="359">
        <f t="shared" ca="1" si="124"/>
        <v>7.5480596113969991</v>
      </c>
      <c r="E308" s="360">
        <f t="shared" ca="1" si="125"/>
        <v>21.697582759990446</v>
      </c>
      <c r="F308" s="357">
        <f t="shared" ca="1" si="126"/>
        <v>22.97299069611611</v>
      </c>
      <c r="G308" s="359">
        <f t="shared" ca="1" si="127"/>
        <v>40.471152553763794</v>
      </c>
      <c r="H308" s="360">
        <f t="shared" ca="1" si="128"/>
        <v>168.83911752734087</v>
      </c>
      <c r="I308" s="357">
        <f t="shared" ca="1" si="129"/>
        <v>173.62189319449678</v>
      </c>
      <c r="J308" s="359">
        <f t="shared" ca="1" si="130"/>
        <v>65.291498248722021</v>
      </c>
      <c r="K308" s="360">
        <f t="shared" ca="1" si="131"/>
        <v>294.71495847065017</v>
      </c>
      <c r="L308" s="357">
        <f t="shared" ca="1" si="116"/>
        <v>301.86070709835673</v>
      </c>
      <c r="M308" s="359">
        <f t="shared" ca="1" si="132"/>
        <v>1.3355326960272746</v>
      </c>
      <c r="N308" s="357">
        <f t="shared" ca="1" si="133"/>
        <v>76.520386884091124</v>
      </c>
      <c r="O308" s="343"/>
      <c r="P308" s="363">
        <f t="shared" ca="1" si="134"/>
        <v>8</v>
      </c>
      <c r="Q308" s="357">
        <f t="shared" ca="1" si="135"/>
        <v>362.73913043480007</v>
      </c>
      <c r="R308" s="359">
        <f t="shared" ca="1" si="136"/>
        <v>0.18204186892499816</v>
      </c>
      <c r="S308" s="360">
        <f t="shared" ca="1" si="137"/>
        <v>8.6972296475197464</v>
      </c>
      <c r="T308" s="357">
        <f t="shared" ca="1" si="117"/>
        <v>85.319822842168719</v>
      </c>
      <c r="U308" s="364">
        <f t="shared" ca="1" si="118"/>
        <v>0</v>
      </c>
      <c r="V308" s="359">
        <f t="shared" ca="1" si="119"/>
        <v>1.1894216905864097</v>
      </c>
      <c r="W308" s="357">
        <f t="shared" ca="1" si="120"/>
        <v>81.156712636019819</v>
      </c>
      <c r="X308" s="343"/>
      <c r="Y308" s="367" t="str">
        <f t="shared" ca="1" si="138"/>
        <v/>
      </c>
      <c r="Z308" s="368" t="str">
        <f t="shared" ca="1" si="139"/>
        <v/>
      </c>
      <c r="AA308" s="369" t="str">
        <f t="shared" ca="1" si="140"/>
        <v/>
      </c>
      <c r="AB308" s="344"/>
      <c r="AC308" s="363" t="e">
        <f t="shared" ca="1" si="141"/>
        <v>#N/A</v>
      </c>
      <c r="AD308" s="376" t="e">
        <f t="shared" ca="1" si="142"/>
        <v>#N/A</v>
      </c>
      <c r="AE308" s="377">
        <f t="shared" ca="1" si="121"/>
        <v>294.71495847065017</v>
      </c>
      <c r="AF308" s="344"/>
      <c r="AG308" s="359">
        <f t="shared" ca="1" si="143"/>
        <v>22.859025012818435</v>
      </c>
      <c r="AH308" s="357">
        <f t="shared" ca="1" si="144"/>
        <v>32.399089111807598</v>
      </c>
    </row>
    <row r="309" spans="1:34" x14ac:dyDescent="0.25">
      <c r="A309" s="402">
        <f t="shared" ca="1" si="122"/>
        <v>0.01</v>
      </c>
      <c r="B309" s="357">
        <f t="shared" ca="1" si="123"/>
        <v>3.049999999999979</v>
      </c>
      <c r="C309" s="342"/>
      <c r="D309" s="359">
        <f t="shared" ca="1" si="124"/>
        <v>7.3246123908528498</v>
      </c>
      <c r="E309" s="360">
        <f t="shared" ca="1" si="125"/>
        <v>20.74710090436777</v>
      </c>
      <c r="F309" s="357">
        <f t="shared" ca="1" si="126"/>
        <v>22.002094050618297</v>
      </c>
      <c r="G309" s="359">
        <f t="shared" ca="1" si="127"/>
        <v>40.544398677672319</v>
      </c>
      <c r="H309" s="360">
        <f t="shared" ca="1" si="128"/>
        <v>169.04658853638455</v>
      </c>
      <c r="I309" s="357">
        <f t="shared" ca="1" si="129"/>
        <v>173.84072411240047</v>
      </c>
      <c r="J309" s="359">
        <f t="shared" ca="1" si="130"/>
        <v>65.696576004879205</v>
      </c>
      <c r="K309" s="360">
        <f t="shared" ca="1" si="131"/>
        <v>296.40438700096882</v>
      </c>
      <c r="L309" s="357">
        <f t="shared" ca="1" si="116"/>
        <v>303.59776140838881</v>
      </c>
      <c r="M309" s="359">
        <f t="shared" ca="1" si="132"/>
        <v>1.335401155805001</v>
      </c>
      <c r="N309" s="357">
        <f t="shared" ca="1" si="133"/>
        <v>76.512850184518626</v>
      </c>
      <c r="O309" s="343"/>
      <c r="P309" s="363">
        <f t="shared" ca="1" si="134"/>
        <v>8</v>
      </c>
      <c r="Q309" s="357">
        <f t="shared" ca="1" si="135"/>
        <v>354.39130434784374</v>
      </c>
      <c r="R309" s="359">
        <f t="shared" ca="1" si="136"/>
        <v>0.17785248395153572</v>
      </c>
      <c r="S309" s="360">
        <f t="shared" ca="1" si="137"/>
        <v>8.6954511226802307</v>
      </c>
      <c r="T309" s="357">
        <f t="shared" ca="1" si="117"/>
        <v>85.302375513493061</v>
      </c>
      <c r="U309" s="364">
        <f t="shared" ca="1" si="118"/>
        <v>0</v>
      </c>
      <c r="V309" s="359">
        <f t="shared" ca="1" si="119"/>
        <v>1.189220719379366</v>
      </c>
      <c r="W309" s="357">
        <f t="shared" ca="1" si="120"/>
        <v>81.347672151217438</v>
      </c>
      <c r="X309" s="343"/>
      <c r="Y309" s="367" t="str">
        <f t="shared" ca="1" si="138"/>
        <v/>
      </c>
      <c r="Z309" s="368" t="str">
        <f t="shared" ca="1" si="139"/>
        <v/>
      </c>
      <c r="AA309" s="369" t="str">
        <f t="shared" ca="1" si="140"/>
        <v/>
      </c>
      <c r="AB309" s="344"/>
      <c r="AC309" s="363" t="e">
        <f t="shared" ca="1" si="141"/>
        <v>#N/A</v>
      </c>
      <c r="AD309" s="376" t="e">
        <f t="shared" ca="1" si="142"/>
        <v>#N/A</v>
      </c>
      <c r="AE309" s="377">
        <f t="shared" ca="1" si="121"/>
        <v>296.40438700096882</v>
      </c>
      <c r="AF309" s="344"/>
      <c r="AG309" s="359">
        <f t="shared" ca="1" si="143"/>
        <v>21.882941393545238</v>
      </c>
      <c r="AH309" s="357">
        <f t="shared" ca="1" si="144"/>
        <v>31.422704567811291</v>
      </c>
    </row>
    <row r="310" spans="1:34" x14ac:dyDescent="0.25">
      <c r="A310" s="402">
        <f t="shared" ca="1" si="122"/>
        <v>0.01</v>
      </c>
      <c r="B310" s="357">
        <f t="shared" ca="1" si="123"/>
        <v>3.0599999999999787</v>
      </c>
      <c r="C310" s="342"/>
      <c r="D310" s="359">
        <f t="shared" ca="1" si="124"/>
        <v>7.1010247797130255</v>
      </c>
      <c r="E310" s="360">
        <f t="shared" ca="1" si="125"/>
        <v>19.797148046910785</v>
      </c>
      <c r="F310" s="357">
        <f t="shared" ca="1" si="126"/>
        <v>21.032156896367095</v>
      </c>
      <c r="G310" s="359">
        <f t="shared" ca="1" si="127"/>
        <v>40.615408925469453</v>
      </c>
      <c r="H310" s="360">
        <f t="shared" ca="1" si="128"/>
        <v>169.24456001685365</v>
      </c>
      <c r="I310" s="357">
        <f t="shared" ca="1" si="129"/>
        <v>174.0497990159181</v>
      </c>
      <c r="J310" s="359">
        <f t="shared" ca="1" si="130"/>
        <v>66.10237504289492</v>
      </c>
      <c r="K310" s="360">
        <f t="shared" ca="1" si="131"/>
        <v>298.09584274373503</v>
      </c>
      <c r="L310" s="357">
        <f t="shared" ca="1" si="116"/>
        <v>305.33695394990951</v>
      </c>
      <c r="M310" s="359">
        <f t="shared" ca="1" si="132"/>
        <v>1.3352697014968256</v>
      </c>
      <c r="N310" s="357">
        <f t="shared" ca="1" si="133"/>
        <v>76.50531840746136</v>
      </c>
      <c r="O310" s="343"/>
      <c r="P310" s="363">
        <f t="shared" ca="1" si="134"/>
        <v>8</v>
      </c>
      <c r="Q310" s="357">
        <f t="shared" ca="1" si="135"/>
        <v>346.04347826088735</v>
      </c>
      <c r="R310" s="359">
        <f t="shared" ca="1" si="136"/>
        <v>0.17366309897807322</v>
      </c>
      <c r="S310" s="360">
        <f t="shared" ca="1" si="137"/>
        <v>8.6937144916904501</v>
      </c>
      <c r="T310" s="357">
        <f t="shared" ca="1" si="117"/>
        <v>85.285339163483314</v>
      </c>
      <c r="U310" s="364">
        <f t="shared" ca="1" si="118"/>
        <v>0</v>
      </c>
      <c r="V310" s="359">
        <f t="shared" ca="1" si="119"/>
        <v>1.1890195405332449</v>
      </c>
      <c r="W310" s="357">
        <f t="shared" ca="1" si="120"/>
        <v>81.529665788988851</v>
      </c>
      <c r="X310" s="343"/>
      <c r="Y310" s="367" t="str">
        <f t="shared" ca="1" si="138"/>
        <v/>
      </c>
      <c r="Z310" s="368" t="str">
        <f t="shared" ca="1" si="139"/>
        <v/>
      </c>
      <c r="AA310" s="369" t="str">
        <f t="shared" ca="1" si="140"/>
        <v/>
      </c>
      <c r="AB310" s="344"/>
      <c r="AC310" s="363" t="e">
        <f t="shared" ca="1" si="141"/>
        <v>#N/A</v>
      </c>
      <c r="AD310" s="376" t="e">
        <f t="shared" ca="1" si="142"/>
        <v>#N/A</v>
      </c>
      <c r="AE310" s="377">
        <f t="shared" ca="1" si="121"/>
        <v>298.09584274373503</v>
      </c>
      <c r="AF310" s="344"/>
      <c r="AG310" s="359">
        <f t="shared" ca="1" si="143"/>
        <v>20.907339970689122</v>
      </c>
      <c r="AH310" s="357">
        <f t="shared" ca="1" si="144"/>
        <v>30.446802268773503</v>
      </c>
    </row>
    <row r="311" spans="1:34" x14ac:dyDescent="0.25">
      <c r="A311" s="402">
        <f t="shared" ca="1" si="122"/>
        <v>0.01</v>
      </c>
      <c r="B311" s="357">
        <f t="shared" ca="1" si="123"/>
        <v>3.0699999999999785</v>
      </c>
      <c r="C311" s="342"/>
      <c r="D311" s="359">
        <f t="shared" ca="1" si="124"/>
        <v>6.877301484034188</v>
      </c>
      <c r="E311" s="360">
        <f t="shared" ca="1" si="125"/>
        <v>18.847740856542842</v>
      </c>
      <c r="F311" s="357">
        <f t="shared" ca="1" si="126"/>
        <v>20.063265215255797</v>
      </c>
      <c r="G311" s="359">
        <f t="shared" ca="1" si="127"/>
        <v>40.684181940309792</v>
      </c>
      <c r="H311" s="360">
        <f t="shared" ca="1" si="128"/>
        <v>169.43303742541909</v>
      </c>
      <c r="I311" s="357">
        <f t="shared" ca="1" si="129"/>
        <v>174.24912289981748</v>
      </c>
      <c r="J311" s="359">
        <f t="shared" ca="1" si="130"/>
        <v>66.508872997223818</v>
      </c>
      <c r="K311" s="360">
        <f t="shared" ca="1" si="131"/>
        <v>299.78923073094637</v>
      </c>
      <c r="L311" s="357">
        <f t="shared" ca="1" si="116"/>
        <v>307.07818719279533</v>
      </c>
      <c r="M311" s="359">
        <f t="shared" ca="1" si="132"/>
        <v>1.3351383255944786</v>
      </c>
      <c r="N311" s="357">
        <f t="shared" ca="1" si="133"/>
        <v>76.497791122727165</v>
      </c>
      <c r="O311" s="343"/>
      <c r="P311" s="363">
        <f t="shared" ca="1" si="134"/>
        <v>8</v>
      </c>
      <c r="Q311" s="357">
        <f t="shared" ca="1" si="135"/>
        <v>337.69565217393102</v>
      </c>
      <c r="R311" s="359">
        <f t="shared" ca="1" si="136"/>
        <v>0.16947371400461078</v>
      </c>
      <c r="S311" s="360">
        <f t="shared" ca="1" si="137"/>
        <v>8.6920197545504045</v>
      </c>
      <c r="T311" s="357">
        <f t="shared" ca="1" si="117"/>
        <v>85.268713792139479</v>
      </c>
      <c r="U311" s="364">
        <f t="shared" ca="1" si="118"/>
        <v>0</v>
      </c>
      <c r="V311" s="359">
        <f t="shared" ca="1" si="119"/>
        <v>1.1888181654527274</v>
      </c>
      <c r="W311" s="357">
        <f t="shared" ca="1" si="120"/>
        <v>81.702670490985938</v>
      </c>
      <c r="X311" s="343"/>
      <c r="Y311" s="367" t="str">
        <f t="shared" ca="1" si="138"/>
        <v/>
      </c>
      <c r="Z311" s="368" t="str">
        <f t="shared" ca="1" si="139"/>
        <v/>
      </c>
      <c r="AA311" s="369" t="str">
        <f t="shared" ca="1" si="140"/>
        <v/>
      </c>
      <c r="AB311" s="344"/>
      <c r="AC311" s="363" t="e">
        <f t="shared" ca="1" si="141"/>
        <v>#N/A</v>
      </c>
      <c r="AD311" s="376" t="e">
        <f t="shared" ca="1" si="142"/>
        <v>#N/A</v>
      </c>
      <c r="AE311" s="377">
        <f t="shared" ca="1" si="121"/>
        <v>299.78923073094637</v>
      </c>
      <c r="AF311" s="344"/>
      <c r="AG311" s="359">
        <f t="shared" ca="1" si="143"/>
        <v>19.932238016188535</v>
      </c>
      <c r="AH311" s="357">
        <f t="shared" ca="1" si="144"/>
        <v>29.471399469707301</v>
      </c>
    </row>
    <row r="312" spans="1:34" x14ac:dyDescent="0.25">
      <c r="A312" s="402">
        <f t="shared" ca="1" si="122"/>
        <v>0.01</v>
      </c>
      <c r="B312" s="357">
        <f t="shared" ca="1" si="123"/>
        <v>3.0799999999999783</v>
      </c>
      <c r="C312" s="342"/>
      <c r="D312" s="359">
        <f t="shared" ca="1" si="124"/>
        <v>6.6534471411908065</v>
      </c>
      <c r="E312" s="360">
        <f t="shared" ca="1" si="125"/>
        <v>17.898895809564983</v>
      </c>
      <c r="F312" s="357">
        <f t="shared" ca="1" si="126"/>
        <v>19.095518585843202</v>
      </c>
      <c r="G312" s="359">
        <f t="shared" ca="1" si="127"/>
        <v>40.750716411721697</v>
      </c>
      <c r="H312" s="360">
        <f t="shared" ca="1" si="128"/>
        <v>169.61202638351475</v>
      </c>
      <c r="I312" s="357">
        <f t="shared" ca="1" si="129"/>
        <v>174.43870092955481</v>
      </c>
      <c r="J312" s="359">
        <f t="shared" ca="1" si="130"/>
        <v>66.916047488983978</v>
      </c>
      <c r="K312" s="360">
        <f t="shared" ca="1" si="131"/>
        <v>301.48445604999102</v>
      </c>
      <c r="L312" s="357">
        <f t="shared" ca="1" si="116"/>
        <v>308.82136365754707</v>
      </c>
      <c r="M312" s="359">
        <f t="shared" ca="1" si="132"/>
        <v>1.3350070206283566</v>
      </c>
      <c r="N312" s="357">
        <f t="shared" ca="1" si="133"/>
        <v>76.490267902339269</v>
      </c>
      <c r="O312" s="343"/>
      <c r="P312" s="363">
        <f t="shared" ca="1" si="134"/>
        <v>8</v>
      </c>
      <c r="Q312" s="357">
        <f t="shared" ca="1" si="135"/>
        <v>329.34782608697469</v>
      </c>
      <c r="R312" s="359">
        <f t="shared" ca="1" si="136"/>
        <v>0.16528432903114834</v>
      </c>
      <c r="S312" s="360">
        <f t="shared" ca="1" si="137"/>
        <v>8.6903669112600923</v>
      </c>
      <c r="T312" s="357">
        <f t="shared" ca="1" si="117"/>
        <v>85.252499399461513</v>
      </c>
      <c r="U312" s="364">
        <f t="shared" ca="1" si="118"/>
        <v>0</v>
      </c>
      <c r="V312" s="359">
        <f t="shared" ca="1" si="119"/>
        <v>1.1886166055284515</v>
      </c>
      <c r="W312" s="357">
        <f t="shared" ca="1" si="120"/>
        <v>81.866664950226394</v>
      </c>
      <c r="X312" s="343"/>
      <c r="Y312" s="367" t="str">
        <f t="shared" ca="1" si="138"/>
        <v/>
      </c>
      <c r="Z312" s="368" t="str">
        <f t="shared" ca="1" si="139"/>
        <v/>
      </c>
      <c r="AA312" s="369" t="str">
        <f t="shared" ca="1" si="140"/>
        <v/>
      </c>
      <c r="AB312" s="344"/>
      <c r="AC312" s="363" t="e">
        <f t="shared" ca="1" si="141"/>
        <v>#N/A</v>
      </c>
      <c r="AD312" s="376" t="e">
        <f t="shared" ca="1" si="142"/>
        <v>#N/A</v>
      </c>
      <c r="AE312" s="377">
        <f t="shared" ca="1" si="121"/>
        <v>301.48445604999102</v>
      </c>
      <c r="AF312" s="344"/>
      <c r="AG312" s="359">
        <f t="shared" ca="1" si="143"/>
        <v>18.957652598902129</v>
      </c>
      <c r="AH312" s="357">
        <f t="shared" ca="1" si="144"/>
        <v>28.496513222602303</v>
      </c>
    </row>
    <row r="313" spans="1:34" x14ac:dyDescent="0.25">
      <c r="A313" s="402">
        <f t="shared" ca="1" si="122"/>
        <v>0.01</v>
      </c>
      <c r="B313" s="357">
        <f t="shared" ca="1" si="123"/>
        <v>3.0899999999999781</v>
      </c>
      <c r="C313" s="342"/>
      <c r="D313" s="359">
        <f t="shared" ca="1" si="124"/>
        <v>6.4294663199559317</v>
      </c>
      <c r="E313" s="360">
        <f t="shared" ca="1" si="125"/>
        <v>16.950629189297025</v>
      </c>
      <c r="F313" s="357">
        <f t="shared" ca="1" si="126"/>
        <v>18.129033815195335</v>
      </c>
      <c r="G313" s="359">
        <f t="shared" ca="1" si="127"/>
        <v>40.815011074921259</v>
      </c>
      <c r="H313" s="360">
        <f t="shared" ca="1" si="128"/>
        <v>169.7815326754077</v>
      </c>
      <c r="I313" s="357">
        <f t="shared" ca="1" si="129"/>
        <v>174.61853843924041</v>
      </c>
      <c r="J313" s="359">
        <f t="shared" ca="1" si="130"/>
        <v>67.32387612641719</v>
      </c>
      <c r="K313" s="360">
        <f t="shared" ca="1" si="131"/>
        <v>303.18142384528562</v>
      </c>
      <c r="L313" s="357">
        <f t="shared" ca="1" si="116"/>
        <v>310.56638591698857</v>
      </c>
      <c r="M313" s="359">
        <f t="shared" ca="1" si="132"/>
        <v>1.3348757791649875</v>
      </c>
      <c r="N313" s="357">
        <f t="shared" ca="1" si="133"/>
        <v>76.482748320391096</v>
      </c>
      <c r="O313" s="343"/>
      <c r="P313" s="363">
        <f t="shared" ca="1" si="134"/>
        <v>8</v>
      </c>
      <c r="Q313" s="357">
        <f t="shared" ca="1" si="135"/>
        <v>321.00000000001836</v>
      </c>
      <c r="R313" s="359">
        <f t="shared" ca="1" si="136"/>
        <v>0.1610949440576859</v>
      </c>
      <c r="S313" s="360">
        <f t="shared" ca="1" si="137"/>
        <v>8.6887559618195152</v>
      </c>
      <c r="T313" s="357">
        <f t="shared" ca="1" si="117"/>
        <v>85.236695985449444</v>
      </c>
      <c r="U313" s="364">
        <f t="shared" ca="1" si="118"/>
        <v>0</v>
      </c>
      <c r="V313" s="359">
        <f t="shared" ca="1" si="119"/>
        <v>1.1884148721368086</v>
      </c>
      <c r="W313" s="357">
        <f t="shared" ca="1" si="120"/>
        <v>82.021629605096763</v>
      </c>
      <c r="X313" s="343"/>
      <c r="Y313" s="367" t="str">
        <f t="shared" ca="1" si="138"/>
        <v/>
      </c>
      <c r="Z313" s="368" t="str">
        <f t="shared" ca="1" si="139"/>
        <v/>
      </c>
      <c r="AA313" s="369" t="str">
        <f t="shared" ca="1" si="140"/>
        <v/>
      </c>
      <c r="AB313" s="344"/>
      <c r="AC313" s="363" t="e">
        <f t="shared" ca="1" si="141"/>
        <v>#N/A</v>
      </c>
      <c r="AD313" s="376" t="e">
        <f t="shared" ca="1" si="142"/>
        <v>#N/A</v>
      </c>
      <c r="AE313" s="377">
        <f t="shared" ca="1" si="121"/>
        <v>303.18142384528562</v>
      </c>
      <c r="AF313" s="344"/>
      <c r="AG313" s="359">
        <f t="shared" ca="1" si="143"/>
        <v>17.983600584266679</v>
      </c>
      <c r="AH313" s="357">
        <f t="shared" ca="1" si="144"/>
        <v>27.522160376077014</v>
      </c>
    </row>
    <row r="314" spans="1:34" x14ac:dyDescent="0.25">
      <c r="A314" s="402">
        <f t="shared" ca="1" si="122"/>
        <v>0.01</v>
      </c>
      <c r="B314" s="357">
        <f t="shared" ca="1" si="123"/>
        <v>3.0999999999999779</v>
      </c>
      <c r="C314" s="342"/>
      <c r="D314" s="359">
        <f t="shared" ca="1" si="124"/>
        <v>6.2053635205760669</v>
      </c>
      <c r="E314" s="360">
        <f t="shared" ca="1" si="125"/>
        <v>16.002957085752804</v>
      </c>
      <c r="F314" s="357">
        <f t="shared" ca="1" si="126"/>
        <v>17.16394977593858</v>
      </c>
      <c r="G314" s="359">
        <f t="shared" ca="1" si="127"/>
        <v>40.877064710127023</v>
      </c>
      <c r="H314" s="360">
        <f t="shared" ca="1" si="128"/>
        <v>169.94156224626522</v>
      </c>
      <c r="I314" s="357">
        <f t="shared" ca="1" si="129"/>
        <v>174.78864092960146</v>
      </c>
      <c r="J314" s="359">
        <f t="shared" ca="1" si="130"/>
        <v>67.732336505342431</v>
      </c>
      <c r="K314" s="360">
        <f t="shared" ca="1" si="131"/>
        <v>304.88003931989397</v>
      </c>
      <c r="L314" s="357">
        <f t="shared" ca="1" si="116"/>
        <v>312.31315659794581</v>
      </c>
      <c r="M314" s="359">
        <f t="shared" ca="1" si="132"/>
        <v>1.3347445938045304</v>
      </c>
      <c r="N314" s="357">
        <f t="shared" ca="1" si="133"/>
        <v>76.475231952903002</v>
      </c>
      <c r="O314" s="343"/>
      <c r="P314" s="363">
        <f t="shared" ca="1" si="134"/>
        <v>8</v>
      </c>
      <c r="Q314" s="357">
        <f t="shared" ca="1" si="135"/>
        <v>312.65217391306203</v>
      </c>
      <c r="R314" s="359">
        <f t="shared" ca="1" si="136"/>
        <v>0.15690555908422346</v>
      </c>
      <c r="S314" s="360">
        <f t="shared" ca="1" si="137"/>
        <v>8.6871869062286731</v>
      </c>
      <c r="T314" s="357">
        <f t="shared" ca="1" si="117"/>
        <v>85.221303550103286</v>
      </c>
      <c r="U314" s="364">
        <f t="shared" ca="1" si="118"/>
        <v>0</v>
      </c>
      <c r="V314" s="359">
        <f t="shared" ca="1" si="119"/>
        <v>1.18821297663974</v>
      </c>
      <c r="W314" s="357">
        <f t="shared" ca="1" si="120"/>
        <v>82.167546633205404</v>
      </c>
      <c r="X314" s="343"/>
      <c r="Y314" s="367" t="str">
        <f t="shared" ca="1" si="138"/>
        <v/>
      </c>
      <c r="Z314" s="368" t="str">
        <f t="shared" ca="1" si="139"/>
        <v/>
      </c>
      <c r="AA314" s="369" t="str">
        <f t="shared" ca="1" si="140"/>
        <v/>
      </c>
      <c r="AB314" s="344"/>
      <c r="AC314" s="363" t="e">
        <f t="shared" ca="1" si="141"/>
        <v>#N/A</v>
      </c>
      <c r="AD314" s="376" t="e">
        <f t="shared" ca="1" si="142"/>
        <v>#N/A</v>
      </c>
      <c r="AE314" s="377">
        <f t="shared" ca="1" si="121"/>
        <v>304.88003931989397</v>
      </c>
      <c r="AF314" s="344"/>
      <c r="AG314" s="359">
        <f t="shared" ca="1" si="143"/>
        <v>17.0100986339869</v>
      </c>
      <c r="AH314" s="357">
        <f t="shared" ca="1" si="144"/>
        <v>26.548357575063136</v>
      </c>
    </row>
    <row r="315" spans="1:34" x14ac:dyDescent="0.25">
      <c r="A315" s="402">
        <f t="shared" ca="1" si="122"/>
        <v>0.01</v>
      </c>
      <c r="B315" s="357">
        <f t="shared" ca="1" si="123"/>
        <v>3.1099999999999777</v>
      </c>
      <c r="C315" s="342"/>
      <c r="D315" s="359">
        <f t="shared" ca="1" si="124"/>
        <v>5.9811431748402306</v>
      </c>
      <c r="E315" s="360">
        <f t="shared" ca="1" si="125"/>
        <v>15.055895395349113</v>
      </c>
      <c r="F315" s="357">
        <f t="shared" ca="1" si="126"/>
        <v>16.200433939670642</v>
      </c>
      <c r="G315" s="359">
        <f t="shared" ca="1" si="127"/>
        <v>40.936876141875423</v>
      </c>
      <c r="H315" s="360">
        <f t="shared" ca="1" si="128"/>
        <v>170.09212120021871</v>
      </c>
      <c r="I315" s="357">
        <f t="shared" ca="1" si="129"/>
        <v>174.94901406594192</v>
      </c>
      <c r="J315" s="359">
        <f t="shared" ca="1" si="130"/>
        <v>68.141406209602437</v>
      </c>
      <c r="K315" s="360">
        <f t="shared" ca="1" si="131"/>
        <v>306.58020773712639</v>
      </c>
      <c r="L315" s="357">
        <f t="shared" ca="1" si="116"/>
        <v>314.06157838290505</v>
      </c>
      <c r="M315" s="359">
        <f t="shared" ca="1" si="132"/>
        <v>1.3346134571783044</v>
      </c>
      <c r="N315" s="357">
        <f t="shared" ca="1" si="133"/>
        <v>76.467718377680669</v>
      </c>
      <c r="O315" s="343"/>
      <c r="P315" s="363">
        <f t="shared" ca="1" si="134"/>
        <v>8</v>
      </c>
      <c r="Q315" s="357">
        <f t="shared" ca="1" si="135"/>
        <v>304.30434782610564</v>
      </c>
      <c r="R315" s="359">
        <f t="shared" ca="1" si="136"/>
        <v>0.15271617411076099</v>
      </c>
      <c r="S315" s="360">
        <f t="shared" ca="1" si="137"/>
        <v>8.6856597444875661</v>
      </c>
      <c r="T315" s="357">
        <f t="shared" ca="1" si="117"/>
        <v>85.206322093423026</v>
      </c>
      <c r="U315" s="364">
        <f t="shared" ca="1" si="118"/>
        <v>0</v>
      </c>
      <c r="V315" s="359">
        <f t="shared" ca="1" si="119"/>
        <v>1.1880109303845376</v>
      </c>
      <c r="W315" s="357">
        <f t="shared" ca="1" si="120"/>
        <v>82.304399945088264</v>
      </c>
      <c r="X315" s="343"/>
      <c r="Y315" s="367" t="str">
        <f t="shared" ca="1" si="138"/>
        <v/>
      </c>
      <c r="Z315" s="368" t="str">
        <f t="shared" ca="1" si="139"/>
        <v/>
      </c>
      <c r="AA315" s="369" t="str">
        <f t="shared" ca="1" si="140"/>
        <v/>
      </c>
      <c r="AB315" s="344"/>
      <c r="AC315" s="363" t="e">
        <f t="shared" ca="1" si="141"/>
        <v>#N/A</v>
      </c>
      <c r="AD315" s="376" t="e">
        <f t="shared" ca="1" si="142"/>
        <v>#N/A</v>
      </c>
      <c r="AE315" s="377">
        <f t="shared" ca="1" si="121"/>
        <v>306.58020773712639</v>
      </c>
      <c r="AF315" s="344"/>
      <c r="AG315" s="359">
        <f t="shared" ca="1" si="143"/>
        <v>16.03716320575689</v>
      </c>
      <c r="AH315" s="357">
        <f t="shared" ca="1" si="144"/>
        <v>25.575121260521563</v>
      </c>
    </row>
    <row r="316" spans="1:34" x14ac:dyDescent="0.25">
      <c r="A316" s="402">
        <f t="shared" ca="1" si="122"/>
        <v>0.01</v>
      </c>
      <c r="B316" s="357">
        <f t="shared" ca="1" si="123"/>
        <v>3.1199999999999775</v>
      </c>
      <c r="C316" s="342"/>
      <c r="D316" s="359">
        <f t="shared" ca="1" si="124"/>
        <v>5.7568096461435454</v>
      </c>
      <c r="E316" s="360">
        <f t="shared" ca="1" si="125"/>
        <v>14.109459820648079</v>
      </c>
      <c r="F316" s="357">
        <f t="shared" ca="1" si="126"/>
        <v>15.238691339232968</v>
      </c>
      <c r="G316" s="359">
        <f t="shared" ca="1" si="127"/>
        <v>40.994444238336861</v>
      </c>
      <c r="H316" s="360">
        <f t="shared" ca="1" si="128"/>
        <v>170.23321579842519</v>
      </c>
      <c r="I316" s="357">
        <f t="shared" ca="1" si="129"/>
        <v>175.09966367609994</v>
      </c>
      <c r="J316" s="359">
        <f t="shared" ca="1" si="130"/>
        <v>68.551062811503499</v>
      </c>
      <c r="K316" s="360">
        <f t="shared" ca="1" si="131"/>
        <v>308.28183442211963</v>
      </c>
      <c r="L316" s="357">
        <f t="shared" ca="1" si="116"/>
        <v>315.81155401165091</v>
      </c>
      <c r="M316" s="359">
        <f t="shared" ca="1" si="132"/>
        <v>1.3344823619463471</v>
      </c>
      <c r="N316" s="357">
        <f t="shared" ca="1" si="133"/>
        <v>76.460207174175224</v>
      </c>
      <c r="O316" s="343"/>
      <c r="P316" s="363">
        <f t="shared" ca="1" si="134"/>
        <v>8</v>
      </c>
      <c r="Q316" s="357">
        <f t="shared" ca="1" si="135"/>
        <v>295.95652173914931</v>
      </c>
      <c r="R316" s="359">
        <f t="shared" ca="1" si="136"/>
        <v>0.14852678913729855</v>
      </c>
      <c r="S316" s="360">
        <f t="shared" ca="1" si="137"/>
        <v>8.6841744765961923</v>
      </c>
      <c r="T316" s="357">
        <f t="shared" ca="1" si="117"/>
        <v>85.191751615408648</v>
      </c>
      <c r="U316" s="364">
        <f t="shared" ca="1" si="118"/>
        <v>0</v>
      </c>
      <c r="V316" s="359">
        <f t="shared" ca="1" si="119"/>
        <v>1.1878087447036514</v>
      </c>
      <c r="W316" s="357">
        <f t="shared" ca="1" si="120"/>
        <v>82.432175177771725</v>
      </c>
      <c r="X316" s="343"/>
      <c r="Y316" s="367" t="str">
        <f t="shared" ca="1" si="138"/>
        <v/>
      </c>
      <c r="Z316" s="368" t="str">
        <f t="shared" ca="1" si="139"/>
        <v/>
      </c>
      <c r="AA316" s="369" t="str">
        <f t="shared" ca="1" si="140"/>
        <v/>
      </c>
      <c r="AB316" s="344"/>
      <c r="AC316" s="363" t="e">
        <f t="shared" ca="1" si="141"/>
        <v>#N/A</v>
      </c>
      <c r="AD316" s="376" t="e">
        <f t="shared" ca="1" si="142"/>
        <v>#N/A</v>
      </c>
      <c r="AE316" s="377">
        <f t="shared" ca="1" si="121"/>
        <v>308.28183442211963</v>
      </c>
      <c r="AF316" s="344"/>
      <c r="AG316" s="359">
        <f t="shared" ca="1" si="143"/>
        <v>15.064810553012997</v>
      </c>
      <c r="AH316" s="357">
        <f t="shared" ca="1" si="144"/>
        <v>24.602467669189796</v>
      </c>
    </row>
    <row r="317" spans="1:34" x14ac:dyDescent="0.25">
      <c r="A317" s="402">
        <f t="shared" ca="1" si="122"/>
        <v>0.01</v>
      </c>
      <c r="B317" s="357">
        <f t="shared" ca="1" si="123"/>
        <v>3.1299999999999772</v>
      </c>
      <c r="C317" s="342"/>
      <c r="D317" s="359">
        <f t="shared" ca="1" si="124"/>
        <v>5.5323672295453399</v>
      </c>
      <c r="E317" s="360">
        <f t="shared" ca="1" si="125"/>
        <v>13.163665870132464</v>
      </c>
      <c r="F317" s="357">
        <f t="shared" ca="1" si="126"/>
        <v>14.278977074813078</v>
      </c>
      <c r="G317" s="359">
        <f t="shared" ca="1" si="127"/>
        <v>41.049767910632312</v>
      </c>
      <c r="H317" s="360">
        <f t="shared" ca="1" si="128"/>
        <v>170.36485245712652</v>
      </c>
      <c r="I317" s="357">
        <f t="shared" ca="1" si="129"/>
        <v>175.24059574840319</v>
      </c>
      <c r="J317" s="359">
        <f t="shared" ca="1" si="130"/>
        <v>68.961283872248345</v>
      </c>
      <c r="K317" s="360">
        <f t="shared" ca="1" si="131"/>
        <v>309.9848247633974</v>
      </c>
      <c r="L317" s="357">
        <f t="shared" ca="1" si="116"/>
        <v>317.56298628288374</v>
      </c>
      <c r="M317" s="359">
        <f t="shared" ca="1" si="132"/>
        <v>1.334351300794999</v>
      </c>
      <c r="N317" s="357">
        <f t="shared" ca="1" si="133"/>
        <v>76.452697923344857</v>
      </c>
      <c r="O317" s="343"/>
      <c r="P317" s="363">
        <f t="shared" ca="1" si="134"/>
        <v>8</v>
      </c>
      <c r="Q317" s="357">
        <f t="shared" ca="1" si="135"/>
        <v>287.60869565219298</v>
      </c>
      <c r="R317" s="359">
        <f t="shared" ca="1" si="136"/>
        <v>0.14433740416383611</v>
      </c>
      <c r="S317" s="360">
        <f t="shared" ca="1" si="137"/>
        <v>8.6827311025545537</v>
      </c>
      <c r="T317" s="357">
        <f t="shared" ca="1" si="117"/>
        <v>85.177592116060183</v>
      </c>
      <c r="U317" s="364">
        <f t="shared" ca="1" si="118"/>
        <v>0</v>
      </c>
      <c r="V317" s="359">
        <f t="shared" ca="1" si="119"/>
        <v>1.1876064309144965</v>
      </c>
      <c r="W317" s="357">
        <f t="shared" ca="1" si="120"/>
        <v>82.550859688195473</v>
      </c>
      <c r="X317" s="343"/>
      <c r="Y317" s="367" t="str">
        <f t="shared" ca="1" si="138"/>
        <v/>
      </c>
      <c r="Z317" s="368" t="str">
        <f t="shared" ca="1" si="139"/>
        <v/>
      </c>
      <c r="AA317" s="369" t="str">
        <f t="shared" ca="1" si="140"/>
        <v/>
      </c>
      <c r="AB317" s="344"/>
      <c r="AC317" s="363" t="e">
        <f t="shared" ca="1" si="141"/>
        <v>#N/A</v>
      </c>
      <c r="AD317" s="376" t="e">
        <f t="shared" ca="1" si="142"/>
        <v>#N/A</v>
      </c>
      <c r="AE317" s="377">
        <f t="shared" ca="1" si="121"/>
        <v>309.9848247633974</v>
      </c>
      <c r="AF317" s="344"/>
      <c r="AG317" s="359">
        <f t="shared" ca="1" si="143"/>
        <v>14.093056724717441</v>
      </c>
      <c r="AH317" s="357">
        <f t="shared" ca="1" si="144"/>
        <v>23.630412833360239</v>
      </c>
    </row>
    <row r="318" spans="1:34" x14ac:dyDescent="0.25">
      <c r="A318" s="402">
        <f t="shared" ca="1" si="122"/>
        <v>0.01</v>
      </c>
      <c r="B318" s="357">
        <f t="shared" ca="1" si="123"/>
        <v>3.139999999999977</v>
      </c>
      <c r="C318" s="342"/>
      <c r="D318" s="359">
        <f t="shared" ca="1" si="124"/>
        <v>5.3078201518220558</v>
      </c>
      <c r="E318" s="360">
        <f t="shared" ca="1" si="125"/>
        <v>12.218528858013675</v>
      </c>
      <c r="F318" s="357">
        <f t="shared" ca="1" si="126"/>
        <v>13.321614099582725</v>
      </c>
      <c r="G318" s="359">
        <f t="shared" ca="1" si="127"/>
        <v>41.10284611215053</v>
      </c>
      <c r="H318" s="360">
        <f t="shared" ca="1" si="128"/>
        <v>170.48703774570666</v>
      </c>
      <c r="I318" s="357">
        <f t="shared" ca="1" si="129"/>
        <v>175.37181642962227</v>
      </c>
      <c r="J318" s="359">
        <f t="shared" ca="1" si="130"/>
        <v>69.37204694236226</v>
      </c>
      <c r="K318" s="360">
        <f t="shared" ca="1" si="131"/>
        <v>311.68908421441154</v>
      </c>
      <c r="L318" s="357">
        <f t="shared" ca="1" si="116"/>
        <v>319.31577805581708</v>
      </c>
      <c r="M318" s="359">
        <f t="shared" ca="1" si="132"/>
        <v>1.3342202664345129</v>
      </c>
      <c r="N318" s="357">
        <f t="shared" ca="1" si="133"/>
        <v>76.445190207517797</v>
      </c>
      <c r="O318" s="343"/>
      <c r="P318" s="363">
        <f t="shared" ca="1" si="134"/>
        <v>8</v>
      </c>
      <c r="Q318" s="357">
        <f t="shared" ca="1" si="135"/>
        <v>279.26086956523659</v>
      </c>
      <c r="R318" s="359">
        <f t="shared" ca="1" si="136"/>
        <v>0.14014801919037362</v>
      </c>
      <c r="S318" s="360">
        <f t="shared" ca="1" si="137"/>
        <v>8.6813296223626502</v>
      </c>
      <c r="T318" s="357">
        <f t="shared" ca="1" si="117"/>
        <v>85.1638435953776</v>
      </c>
      <c r="U318" s="364">
        <f t="shared" ca="1" si="118"/>
        <v>0</v>
      </c>
      <c r="V318" s="359">
        <f t="shared" ca="1" si="119"/>
        <v>1.1874040003192652</v>
      </c>
      <c r="W318" s="357">
        <f t="shared" ca="1" si="120"/>
        <v>82.660442546498786</v>
      </c>
      <c r="X318" s="343"/>
      <c r="Y318" s="367" t="str">
        <f t="shared" ca="1" si="138"/>
        <v/>
      </c>
      <c r="Z318" s="368" t="str">
        <f t="shared" ca="1" si="139"/>
        <v/>
      </c>
      <c r="AA318" s="369" t="str">
        <f t="shared" ca="1" si="140"/>
        <v/>
      </c>
      <c r="AB318" s="344"/>
      <c r="AC318" s="363" t="e">
        <f t="shared" ca="1" si="141"/>
        <v>#N/A</v>
      </c>
      <c r="AD318" s="376" t="e">
        <f t="shared" ca="1" si="142"/>
        <v>#N/A</v>
      </c>
      <c r="AE318" s="377">
        <f t="shared" ca="1" si="121"/>
        <v>311.68908421441154</v>
      </c>
      <c r="AF318" s="344"/>
      <c r="AG318" s="359">
        <f t="shared" ca="1" si="143"/>
        <v>13.121917565172785</v>
      </c>
      <c r="AH318" s="357">
        <f t="shared" ca="1" si="144"/>
        <v>22.658972580689301</v>
      </c>
    </row>
    <row r="319" spans="1:34" x14ac:dyDescent="0.25">
      <c r="A319" s="402">
        <f t="shared" ca="1" si="122"/>
        <v>0.01</v>
      </c>
      <c r="B319" s="357">
        <f t="shared" ca="1" si="123"/>
        <v>3.1499999999999768</v>
      </c>
      <c r="C319" s="342"/>
      <c r="D319" s="359">
        <f t="shared" ca="1" si="124"/>
        <v>5.0831725715150204</v>
      </c>
      <c r="E319" s="360">
        <f t="shared" ca="1" si="125"/>
        <v>11.274063904072078</v>
      </c>
      <c r="F319" s="357">
        <f t="shared" ca="1" si="126"/>
        <v>12.367019054926031</v>
      </c>
      <c r="G319" s="359">
        <f t="shared" ca="1" si="127"/>
        <v>41.153677837865679</v>
      </c>
      <c r="H319" s="360">
        <f t="shared" ca="1" si="128"/>
        <v>170.59977838474737</v>
      </c>
      <c r="I319" s="357">
        <f t="shared" ca="1" si="129"/>
        <v>175.4933320229226</v>
      </c>
      <c r="J319" s="359">
        <f t="shared" ca="1" si="130"/>
        <v>69.783329562112343</v>
      </c>
      <c r="K319" s="360">
        <f t="shared" ca="1" si="131"/>
        <v>313.39451829506379</v>
      </c>
      <c r="L319" s="357">
        <f t="shared" ca="1" si="116"/>
        <v>321.06983225175401</v>
      </c>
      <c r="M319" s="359">
        <f t="shared" ca="1" si="132"/>
        <v>1.3340892515966847</v>
      </c>
      <c r="N319" s="357">
        <f t="shared" ca="1" si="133"/>
        <v>76.437683610256656</v>
      </c>
      <c r="O319" s="343"/>
      <c r="P319" s="363">
        <f t="shared" ca="1" si="134"/>
        <v>8</v>
      </c>
      <c r="Q319" s="357">
        <f t="shared" ca="1" si="135"/>
        <v>270.91304347828031</v>
      </c>
      <c r="R319" s="359">
        <f t="shared" ca="1" si="136"/>
        <v>0.13595863421691121</v>
      </c>
      <c r="S319" s="360">
        <f t="shared" ca="1" si="137"/>
        <v>8.6799700360204817</v>
      </c>
      <c r="T319" s="357">
        <f t="shared" ca="1" si="117"/>
        <v>85.150506053360928</v>
      </c>
      <c r="U319" s="364">
        <f t="shared" ca="1" si="118"/>
        <v>0</v>
      </c>
      <c r="V319" s="359">
        <f t="shared" ca="1" si="119"/>
        <v>1.1872014642047455</v>
      </c>
      <c r="W319" s="357">
        <f t="shared" ca="1" si="120"/>
        <v>82.760914529174585</v>
      </c>
      <c r="X319" s="343"/>
      <c r="Y319" s="367" t="str">
        <f t="shared" ca="1" si="138"/>
        <v/>
      </c>
      <c r="Z319" s="368" t="str">
        <f t="shared" ca="1" si="139"/>
        <v/>
      </c>
      <c r="AA319" s="369" t="str">
        <f t="shared" ca="1" si="140"/>
        <v/>
      </c>
      <c r="AB319" s="344"/>
      <c r="AC319" s="363" t="e">
        <f t="shared" ca="1" si="141"/>
        <v>#N/A</v>
      </c>
      <c r="AD319" s="376" t="e">
        <f t="shared" ca="1" si="142"/>
        <v>#N/A</v>
      </c>
      <c r="AE319" s="377">
        <f t="shared" ca="1" si="121"/>
        <v>313.39451829506379</v>
      </c>
      <c r="AF319" s="344"/>
      <c r="AG319" s="359">
        <f t="shared" ca="1" si="143"/>
        <v>12.151408713866633</v>
      </c>
      <c r="AH319" s="357">
        <f t="shared" ca="1" si="144"/>
        <v>21.688162534036806</v>
      </c>
    </row>
    <row r="320" spans="1:34" x14ac:dyDescent="0.25">
      <c r="A320" s="402">
        <f t="shared" ca="1" si="122"/>
        <v>0.01</v>
      </c>
      <c r="B320" s="357">
        <f t="shared" ca="1" si="123"/>
        <v>3.1599999999999766</v>
      </c>
      <c r="C320" s="342"/>
      <c r="D320" s="359">
        <f t="shared" ca="1" si="124"/>
        <v>4.8584285789732036</v>
      </c>
      <c r="E320" s="360">
        <f t="shared" ca="1" si="125"/>
        <v>10.330285933529039</v>
      </c>
      <c r="F320" s="357">
        <f t="shared" ca="1" si="126"/>
        <v>11.4157406998167</v>
      </c>
      <c r="G320" s="359">
        <f t="shared" ca="1" si="127"/>
        <v>41.202262123655409</v>
      </c>
      <c r="H320" s="360">
        <f t="shared" ca="1" si="128"/>
        <v>170.70308124408265</v>
      </c>
      <c r="I320" s="357">
        <f t="shared" ca="1" si="129"/>
        <v>175.60514898581502</v>
      </c>
      <c r="J320" s="359">
        <f t="shared" ca="1" si="130"/>
        <v>70.195109261919953</v>
      </c>
      <c r="K320" s="360">
        <f t="shared" ca="1" si="131"/>
        <v>315.10103259320795</v>
      </c>
      <c r="L320" s="357">
        <f t="shared" ca="1" si="116"/>
        <v>322.82505185564327</v>
      </c>
      <c r="M320" s="359">
        <f t="shared" ca="1" si="132"/>
        <v>1.3339582490325059</v>
      </c>
      <c r="N320" s="357">
        <f t="shared" ca="1" si="133"/>
        <v>76.430177716223824</v>
      </c>
      <c r="O320" s="343"/>
      <c r="P320" s="363">
        <f t="shared" ca="1" si="134"/>
        <v>8</v>
      </c>
      <c r="Q320" s="357">
        <f t="shared" ca="1" si="135"/>
        <v>262.56521739132393</v>
      </c>
      <c r="R320" s="359">
        <f t="shared" ca="1" si="136"/>
        <v>0.13176924924344874</v>
      </c>
      <c r="S320" s="360">
        <f t="shared" ca="1" si="137"/>
        <v>8.6786523435280465</v>
      </c>
      <c r="T320" s="357">
        <f t="shared" ca="1" si="117"/>
        <v>85.13757949001014</v>
      </c>
      <c r="U320" s="364">
        <f t="shared" ca="1" si="118"/>
        <v>0</v>
      </c>
      <c r="V320" s="359">
        <f t="shared" ca="1" si="119"/>
        <v>1.1869988338421367</v>
      </c>
      <c r="W320" s="357">
        <f t="shared" ca="1" si="120"/>
        <v>82.852268112093199</v>
      </c>
      <c r="X320" s="343"/>
      <c r="Y320" s="367" t="str">
        <f t="shared" ca="1" si="138"/>
        <v/>
      </c>
      <c r="Z320" s="368" t="str">
        <f t="shared" ca="1" si="139"/>
        <v/>
      </c>
      <c r="AA320" s="369" t="str">
        <f t="shared" ca="1" si="140"/>
        <v/>
      </c>
      <c r="AB320" s="344"/>
      <c r="AC320" s="363" t="e">
        <f t="shared" ca="1" si="141"/>
        <v>#N/A</v>
      </c>
      <c r="AD320" s="376" t="e">
        <f t="shared" ca="1" si="142"/>
        <v>#N/A</v>
      </c>
      <c r="AE320" s="377">
        <f t="shared" ca="1" si="121"/>
        <v>315.10103259320795</v>
      </c>
      <c r="AF320" s="344"/>
      <c r="AG320" s="359">
        <f t="shared" ca="1" si="143"/>
        <v>11.181545605346187</v>
      </c>
      <c r="AH320" s="357">
        <f t="shared" ca="1" si="144"/>
        <v>20.717998111335255</v>
      </c>
    </row>
    <row r="321" spans="1:34" x14ac:dyDescent="0.25">
      <c r="A321" s="402">
        <f t="shared" ca="1" si="122"/>
        <v>0.01</v>
      </c>
      <c r="B321" s="357">
        <f t="shared" ca="1" si="123"/>
        <v>3.1699999999999764</v>
      </c>
      <c r="C321" s="342"/>
      <c r="D321" s="359">
        <f t="shared" ca="1" si="124"/>
        <v>4.6335921963911018</v>
      </c>
      <c r="E321" s="360">
        <f t="shared" ca="1" si="125"/>
        <v>9.3872096769507092</v>
      </c>
      <c r="F321" s="357">
        <f t="shared" ca="1" si="126"/>
        <v>10.468518623066664</v>
      </c>
      <c r="G321" s="359">
        <f t="shared" ca="1" si="127"/>
        <v>41.248598045619318</v>
      </c>
      <c r="H321" s="360">
        <f t="shared" ca="1" si="128"/>
        <v>170.79695334085216</v>
      </c>
      <c r="I321" s="357">
        <f t="shared" ca="1" si="129"/>
        <v>175.70727392810548</v>
      </c>
      <c r="J321" s="359">
        <f t="shared" ca="1" si="130"/>
        <v>70.607363562766324</v>
      </c>
      <c r="K321" s="360">
        <f t="shared" ca="1" si="131"/>
        <v>316.8085327661326</v>
      </c>
      <c r="L321" s="357">
        <f t="shared" ca="1" si="116"/>
        <v>324.58133991761508</v>
      </c>
      <c r="M321" s="359">
        <f t="shared" ca="1" si="132"/>
        <v>1.3338272515098339</v>
      </c>
      <c r="N321" s="357">
        <f t="shared" ca="1" si="133"/>
        <v>76.422672111048044</v>
      </c>
      <c r="O321" s="343"/>
      <c r="P321" s="363">
        <f t="shared" ca="1" si="134"/>
        <v>8</v>
      </c>
      <c r="Q321" s="357">
        <f t="shared" ca="1" si="135"/>
        <v>254.2173913043676</v>
      </c>
      <c r="R321" s="359">
        <f t="shared" ca="1" si="136"/>
        <v>0.1275798642699863</v>
      </c>
      <c r="S321" s="360">
        <f t="shared" ca="1" si="137"/>
        <v>8.6773765448853464</v>
      </c>
      <c r="T321" s="357">
        <f t="shared" ca="1" si="117"/>
        <v>85.125063905325248</v>
      </c>
      <c r="U321" s="364">
        <f t="shared" ca="1" si="118"/>
        <v>0</v>
      </c>
      <c r="V321" s="359">
        <f t="shared" ca="1" si="119"/>
        <v>1.1867961204868753</v>
      </c>
      <c r="W321" s="357">
        <f t="shared" ca="1" si="120"/>
        <v>82.934497463400973</v>
      </c>
      <c r="X321" s="343"/>
      <c r="Y321" s="367" t="str">
        <f t="shared" ca="1" si="138"/>
        <v/>
      </c>
      <c r="Z321" s="368" t="str">
        <f t="shared" ca="1" si="139"/>
        <v/>
      </c>
      <c r="AA321" s="369" t="str">
        <f t="shared" ca="1" si="140"/>
        <v/>
      </c>
      <c r="AB321" s="344"/>
      <c r="AC321" s="363" t="e">
        <f t="shared" ca="1" si="141"/>
        <v>#N/A</v>
      </c>
      <c r="AD321" s="376" t="e">
        <f t="shared" ca="1" si="142"/>
        <v>#N/A</v>
      </c>
      <c r="AE321" s="377">
        <f t="shared" ca="1" si="121"/>
        <v>316.8085327661326</v>
      </c>
      <c r="AF321" s="344"/>
      <c r="AG321" s="359">
        <f t="shared" ca="1" si="143"/>
        <v>10.212343469122583</v>
      </c>
      <c r="AH321" s="357">
        <f t="shared" ca="1" si="144"/>
        <v>19.748494525488937</v>
      </c>
    </row>
    <row r="322" spans="1:34" x14ac:dyDescent="0.25">
      <c r="A322" s="402">
        <f t="shared" ca="1" si="122"/>
        <v>0.01</v>
      </c>
      <c r="B322" s="357">
        <f t="shared" ca="1" si="123"/>
        <v>3.1799999999999762</v>
      </c>
      <c r="C322" s="342"/>
      <c r="D322" s="359">
        <f t="shared" ca="1" si="124"/>
        <v>4.4086673778417742</v>
      </c>
      <c r="E322" s="360">
        <f t="shared" ca="1" si="125"/>
        <v>8.4448496701828351</v>
      </c>
      <c r="F322" s="357">
        <f t="shared" ca="1" si="126"/>
        <v>9.5263757012010295</v>
      </c>
      <c r="G322" s="359">
        <f t="shared" ca="1" si="127"/>
        <v>41.292684719397734</v>
      </c>
      <c r="H322" s="360">
        <f t="shared" ca="1" si="128"/>
        <v>170.88140183755399</v>
      </c>
      <c r="I322" s="357">
        <f t="shared" ca="1" si="129"/>
        <v>175.79971360984405</v>
      </c>
      <c r="J322" s="359">
        <f t="shared" ca="1" si="130"/>
        <v>71.020069976591415</v>
      </c>
      <c r="K322" s="360">
        <f t="shared" ca="1" si="131"/>
        <v>318.51692454202464</v>
      </c>
      <c r="L322" s="357">
        <f t="shared" ca="1" si="116"/>
        <v>326.33859955449611</v>
      </c>
      <c r="M322" s="359">
        <f t="shared" ca="1" si="132"/>
        <v>1.3336962518110786</v>
      </c>
      <c r="N322" s="357">
        <f t="shared" ca="1" si="133"/>
        <v>76.415166381191881</v>
      </c>
      <c r="O322" s="343"/>
      <c r="P322" s="363">
        <f t="shared" ca="1" si="134"/>
        <v>8</v>
      </c>
      <c r="Q322" s="357">
        <f t="shared" ca="1" si="135"/>
        <v>245.86956521741126</v>
      </c>
      <c r="R322" s="359">
        <f t="shared" ca="1" si="136"/>
        <v>0.12339047929652386</v>
      </c>
      <c r="S322" s="360">
        <f t="shared" ca="1" si="137"/>
        <v>8.6761426400923813</v>
      </c>
      <c r="T322" s="357">
        <f t="shared" ca="1" si="117"/>
        <v>85.112959299306269</v>
      </c>
      <c r="U322" s="364">
        <f t="shared" ca="1" si="118"/>
        <v>0</v>
      </c>
      <c r="V322" s="359">
        <f t="shared" ca="1" si="119"/>
        <v>1.1865933353784603</v>
      </c>
      <c r="W322" s="357">
        <f t="shared" ca="1" si="120"/>
        <v>83.007598436296036</v>
      </c>
      <c r="X322" s="343"/>
      <c r="Y322" s="367" t="str">
        <f t="shared" ca="1" si="138"/>
        <v/>
      </c>
      <c r="Z322" s="368" t="str">
        <f t="shared" ca="1" si="139"/>
        <v/>
      </c>
      <c r="AA322" s="369" t="str">
        <f t="shared" ca="1" si="140"/>
        <v/>
      </c>
      <c r="AB322" s="344"/>
      <c r="AC322" s="363" t="e">
        <f t="shared" ca="1" si="141"/>
        <v>#N/A</v>
      </c>
      <c r="AD322" s="376" t="e">
        <f t="shared" ca="1" si="142"/>
        <v>#N/A</v>
      </c>
      <c r="AE322" s="377">
        <f t="shared" ca="1" si="121"/>
        <v>318.51692454202464</v>
      </c>
      <c r="AF322" s="344"/>
      <c r="AG322" s="359">
        <f t="shared" ca="1" si="143"/>
        <v>9.2438173296043402</v>
      </c>
      <c r="AH322" s="357">
        <f t="shared" ca="1" si="144"/>
        <v>18.77966678430213</v>
      </c>
    </row>
    <row r="323" spans="1:34" x14ac:dyDescent="0.25">
      <c r="A323" s="402">
        <f t="shared" ca="1" si="122"/>
        <v>0.01</v>
      </c>
      <c r="B323" s="357">
        <f t="shared" ca="1" si="123"/>
        <v>3.189999999999976</v>
      </c>
      <c r="C323" s="342"/>
      <c r="D323" s="359">
        <f t="shared" ca="1" si="124"/>
        <v>4.183658009305157</v>
      </c>
      <c r="E323" s="360">
        <f t="shared" ca="1" si="125"/>
        <v>7.5032202543163375</v>
      </c>
      <c r="F323" s="357">
        <f t="shared" ca="1" si="126"/>
        <v>8.5907687970056621</v>
      </c>
      <c r="G323" s="359">
        <f t="shared" ca="1" si="127"/>
        <v>41.334521299490788</v>
      </c>
      <c r="H323" s="360">
        <f t="shared" ca="1" si="128"/>
        <v>170.95643404009715</v>
      </c>
      <c r="I323" s="357">
        <f t="shared" ca="1" si="129"/>
        <v>175.88247493927344</v>
      </c>
      <c r="J323" s="359">
        <f t="shared" ca="1" si="130"/>
        <v>71.433206006685865</v>
      </c>
      <c r="K323" s="360">
        <f t="shared" ca="1" si="131"/>
        <v>320.2261137214129</v>
      </c>
      <c r="L323" s="357">
        <f t="shared" ca="1" si="116"/>
        <v>328.0967339513042</v>
      </c>
      <c r="M323" s="359">
        <f t="shared" ca="1" si="132"/>
        <v>1.3335652427309039</v>
      </c>
      <c r="N323" s="357">
        <f t="shared" ca="1" si="133"/>
        <v>76.407660113819986</v>
      </c>
      <c r="O323" s="343"/>
      <c r="P323" s="363">
        <f t="shared" ca="1" si="134"/>
        <v>8</v>
      </c>
      <c r="Q323" s="357">
        <f t="shared" ca="1" si="135"/>
        <v>237.5217391304549</v>
      </c>
      <c r="R323" s="359">
        <f t="shared" ca="1" si="136"/>
        <v>0.1192010943230614</v>
      </c>
      <c r="S323" s="360">
        <f t="shared" ca="1" si="137"/>
        <v>8.6749506291491514</v>
      </c>
      <c r="T323" s="357">
        <f t="shared" ca="1" si="117"/>
        <v>85.101265671953186</v>
      </c>
      <c r="U323" s="364">
        <f t="shared" ca="1" si="118"/>
        <v>0</v>
      </c>
      <c r="V323" s="359">
        <f t="shared" ca="1" si="119"/>
        <v>1.1863904897402848</v>
      </c>
      <c r="W323" s="357">
        <f t="shared" ca="1" si="120"/>
        <v>83.071568561684956</v>
      </c>
      <c r="X323" s="343"/>
      <c r="Y323" s="367" t="str">
        <f t="shared" ca="1" si="138"/>
        <v/>
      </c>
      <c r="Z323" s="368" t="str">
        <f t="shared" ca="1" si="139"/>
        <v/>
      </c>
      <c r="AA323" s="369" t="str">
        <f t="shared" ca="1" si="140"/>
        <v/>
      </c>
      <c r="AB323" s="344"/>
      <c r="AC323" s="363" t="e">
        <f t="shared" ca="1" si="141"/>
        <v>#N/A</v>
      </c>
      <c r="AD323" s="376" t="e">
        <f t="shared" ca="1" si="142"/>
        <v>#N/A</v>
      </c>
      <c r="AE323" s="377">
        <f t="shared" ca="1" si="121"/>
        <v>320.2261137214129</v>
      </c>
      <c r="AF323" s="344"/>
      <c r="AG323" s="359">
        <f t="shared" ca="1" si="143"/>
        <v>8.2759820060597402</v>
      </c>
      <c r="AH323" s="357">
        <f t="shared" ca="1" si="144"/>
        <v>17.811529690436267</v>
      </c>
    </row>
    <row r="324" spans="1:34" x14ac:dyDescent="0.25">
      <c r="A324" s="402">
        <f t="shared" ca="1" si="122"/>
        <v>0.01</v>
      </c>
      <c r="B324" s="357">
        <f t="shared" ca="1" si="123"/>
        <v>3.1999999999999758</v>
      </c>
      <c r="C324" s="342"/>
      <c r="D324" s="359">
        <f t="shared" ca="1" si="124"/>
        <v>3.9585679086916872</v>
      </c>
      <c r="E324" s="360">
        <f t="shared" ca="1" si="125"/>
        <v>6.5623355756833828</v>
      </c>
      <c r="F324" s="357">
        <f t="shared" ca="1" si="126"/>
        <v>7.6638442113343768</v>
      </c>
      <c r="G324" s="359">
        <f t="shared" ca="1" si="127"/>
        <v>41.374106978577707</v>
      </c>
      <c r="H324" s="360">
        <f t="shared" ca="1" si="128"/>
        <v>171.02205739585398</v>
      </c>
      <c r="I324" s="357">
        <f t="shared" ca="1" si="129"/>
        <v>175.95556497077769</v>
      </c>
      <c r="J324" s="359">
        <f t="shared" ca="1" si="130"/>
        <v>71.846749148076213</v>
      </c>
      <c r="K324" s="360">
        <f t="shared" ca="1" si="131"/>
        <v>321.93600617859266</v>
      </c>
      <c r="L324" s="357">
        <f t="shared" ref="L324:L387" ca="1" si="145">SQRT(pos_x^2+pos_z^2)</f>
        <v>329.8556463627225</v>
      </c>
      <c r="M324" s="359">
        <f t="shared" ca="1" si="132"/>
        <v>1.3334342170739431</v>
      </c>
      <c r="N324" s="357">
        <f t="shared" ca="1" si="133"/>
        <v>76.400152896668189</v>
      </c>
      <c r="O324" s="343"/>
      <c r="P324" s="363">
        <f t="shared" ca="1" si="134"/>
        <v>8</v>
      </c>
      <c r="Q324" s="357">
        <f t="shared" ca="1" si="135"/>
        <v>229.17391304349857</v>
      </c>
      <c r="R324" s="359">
        <f t="shared" ca="1" si="136"/>
        <v>0.11501170934959895</v>
      </c>
      <c r="S324" s="360">
        <f t="shared" ca="1" si="137"/>
        <v>8.6738005120556547</v>
      </c>
      <c r="T324" s="357">
        <f t="shared" ref="T324:T387" ca="1" si="146">m*g</f>
        <v>85.089983023265972</v>
      </c>
      <c r="U324" s="364">
        <f t="shared" ref="U324:U387" ca="1" si="147">IF(pos_xz&lt;L_rampe,Poids*COS(Beta),0)</f>
        <v>0</v>
      </c>
      <c r="V324" s="359">
        <f t="shared" ref="V324:V387" ca="1" si="148">Rho_moyen*(20000-Alt_rampe-pos_z)/(20000+Alt_rampe+pos_z)</f>
        <v>1.1861875947794667</v>
      </c>
      <c r="W324" s="357">
        <f t="shared" ref="W324:W387" ca="1" si="149">1/2*Rho*Sref*Cx*vit_xz^2</f>
        <v>83.126407040724132</v>
      </c>
      <c r="X324" s="343"/>
      <c r="Y324" s="367" t="str">
        <f t="shared" ca="1" si="138"/>
        <v/>
      </c>
      <c r="Z324" s="368" t="str">
        <f t="shared" ca="1" si="139"/>
        <v/>
      </c>
      <c r="AA324" s="369" t="str">
        <f t="shared" ca="1" si="140"/>
        <v/>
      </c>
      <c r="AB324" s="344"/>
      <c r="AC324" s="363" t="e">
        <f t="shared" ca="1" si="141"/>
        <v>#N/A</v>
      </c>
      <c r="AD324" s="376" t="e">
        <f t="shared" ca="1" si="142"/>
        <v>#N/A</v>
      </c>
      <c r="AE324" s="377">
        <f t="shared" ref="AE324:AE387" ca="1" si="150">IF(t&lt;T_para, pos_z, NA())</f>
        <v>321.93600617859266</v>
      </c>
      <c r="AF324" s="344"/>
      <c r="AG324" s="359">
        <f t="shared" ca="1" si="143"/>
        <v>7.3088521126077985</v>
      </c>
      <c r="AH324" s="357">
        <f t="shared" ca="1" si="144"/>
        <v>16.844097841395705</v>
      </c>
    </row>
    <row r="325" spans="1:34" x14ac:dyDescent="0.25">
      <c r="A325" s="402">
        <f t="shared" ref="A325:A388" ca="1" si="151">IF(B324+0.01&lt;=T_ini+ROUNDUP(Temps_fin_propu,0), 0.01, IF(K324&gt;0, 0.1, 0.0001))</f>
        <v>0.01</v>
      </c>
      <c r="B325" s="357">
        <f t="shared" ref="B325:B388" ca="1" si="152">B324+pas</f>
        <v>3.2099999999999755</v>
      </c>
      <c r="C325" s="342"/>
      <c r="D325" s="359">
        <f t="shared" ref="D325:D388" ca="1" si="153">IF(AND(L324&lt;L_rampe,Poussee&lt;Poids*SIN(M324)),0,(-W324+Poussee)/m*COS(M324)-U324/m*SIN(M324))</f>
        <v>3.7672397625724567</v>
      </c>
      <c r="E325" s="360">
        <f t="shared" ref="E325:E388" ca="1" si="154">IF(AND(L324&lt;L_rampe,Poussee&lt;Poids*SIN(M324)),0,(-W324+Poussee)/m*SIN(M324)+U324/m*COS(M324)-Poids/m)</f>
        <v>5.7620846188221009</v>
      </c>
      <c r="F325" s="357">
        <f t="shared" ref="F325:F388" ca="1" si="155">SQRT(acc_x^2+acc_z^2)</f>
        <v>6.8843093032760532</v>
      </c>
      <c r="G325" s="359">
        <f t="shared" ref="G325:G388" ca="1" si="156">G324+acc_x*pas</f>
        <v>41.411779376203434</v>
      </c>
      <c r="H325" s="360">
        <f t="shared" ref="H325:H388" ca="1" si="157">H324+acc_z*pas</f>
        <v>171.07967824204221</v>
      </c>
      <c r="I325" s="357">
        <f t="shared" ref="I325:I388" ca="1" si="158">SQRT(vit_x^2+vit_z^2)</f>
        <v>176.020430003179</v>
      </c>
      <c r="J325" s="359">
        <f t="shared" ref="J325:J388" ca="1" si="159">J324+0.5*(vit_x+G324)*pas*(K324&gt;=0)</f>
        <v>72.260678579850122</v>
      </c>
      <c r="K325" s="360">
        <f t="shared" ref="K325:K388" ca="1" si="160">K324+0.5*(vit_z+H324)*pas</f>
        <v>323.64651485678212</v>
      </c>
      <c r="L325" s="357">
        <f t="shared" ca="1" si="145"/>
        <v>331.61524730892836</v>
      </c>
      <c r="M325" s="359">
        <f t="shared" ref="M325:M388" ca="1" si="161">IF(AND(L324&gt;L_rampe,G325&gt;0),ATAN2(G325,H325),$M$4)</f>
        <v>1.3333031687239516</v>
      </c>
      <c r="N325" s="357">
        <f t="shared" ref="N325:N388" ca="1" si="162">DEGREES(Beta)</f>
        <v>76.39264437930153</v>
      </c>
      <c r="O325" s="343"/>
      <c r="P325" s="363">
        <f t="shared" ref="P325:P388" ca="1" si="163">MATCH(t-pas/2-T_ini,CdP_t)</f>
        <v>9</v>
      </c>
      <c r="Q325" s="357">
        <f t="shared" ref="Q325:Q388" ca="1" si="164">(INDEX(CdP,2,i_P+1)-INDEX(CdP,2,i_P+0))/(INDEX(CdP,1,i_P+1)-INDEX(CdP,1,i_P+0))*(t-pas/2-T_ini-INDEX(CdP,1,i_P+0))+INDEX(CdP,2,i_P+0)</f>
        <v>222.07407407408843</v>
      </c>
      <c r="R325" s="359">
        <f t="shared" ref="R325:R388" ca="1" si="165">Poussee/(g*ISP)</f>
        <v>0.11144863096456581</v>
      </c>
      <c r="S325" s="360">
        <f t="shared" ref="S325:S388" ca="1" si="166">S324-Débit*pas</f>
        <v>8.6726860257460086</v>
      </c>
      <c r="T325" s="357">
        <f t="shared" ca="1" si="146"/>
        <v>85.079049912568351</v>
      </c>
      <c r="U325" s="364">
        <f t="shared" ca="1" si="147"/>
        <v>0</v>
      </c>
      <c r="V325" s="359">
        <f t="shared" ca="1" si="148"/>
        <v>1.1859846608570235</v>
      </c>
      <c r="W325" s="357">
        <f t="shared" ca="1" si="149"/>
        <v>83.173474685821901</v>
      </c>
      <c r="X325" s="343"/>
      <c r="Y325" s="367" t="str">
        <f t="shared" ref="Y325:Y388" ca="1" si="167">IF(AND(pos_z&lt;=0,K324&gt;0),"Impact balistique","") &amp; IF(AND(H326&lt;0,vit_z&gt;=0),"Apogée","") &amp; IF(AND(Poussee=0,Q324&gt;0),"Fin de propulsion","") &amp; IF(AND(L326&gt;L_rampe,pos_xz&lt;=L_rampe),"Sortie de rampe","")</f>
        <v/>
      </c>
      <c r="Z325" s="368" t="str">
        <f t="shared" ref="Z325:Z388" ca="1" si="168">IF(ABS(t-T_para)&lt;pas/2,"Para","")</f>
        <v/>
      </c>
      <c r="AA325" s="369" t="str">
        <f t="shared" ref="AA325:AA388" ca="1" si="169">IF(ABS(t-T_satellite)&lt;pas/2,"Satellite","")</f>
        <v/>
      </c>
      <c r="AB325" s="344"/>
      <c r="AC325" s="363" t="e">
        <f t="shared" ref="AC325:AC388" ca="1" si="170">IF(ABS(t-ROUND(t,0))&lt;0.001,t,NA())</f>
        <v>#N/A</v>
      </c>
      <c r="AD325" s="376" t="e">
        <f t="shared" ref="AD325:AD388" ca="1" si="171">IF(ABS(t-ROUND(t,0))&lt;0.001,pos_x,NA())</f>
        <v>#N/A</v>
      </c>
      <c r="AE325" s="377">
        <f t="shared" ca="1" si="150"/>
        <v>323.64651485678212</v>
      </c>
      <c r="AF325" s="344"/>
      <c r="AG325" s="359">
        <f t="shared" ref="AG325:AG388" ca="1" si="172">IF(AND(L324&lt;L_rampe,Poussee&lt;Poids*SIN(M324)),0,(-W324+Poussee)/m-Poids*SIN(M324)/m)</f>
        <v>6.486352094292279</v>
      </c>
      <c r="AH325" s="357">
        <f t="shared" ref="AH325:AH388" ca="1" si="173">IF(AND(L324&lt;L_rampe,Poussee&lt;Poids*SIN(M324)), g*SIN(M324), (-W324+Poussee)/m)</f>
        <v>16.021295665596551</v>
      </c>
    </row>
    <row r="326" spans="1:34" x14ac:dyDescent="0.25">
      <c r="A326" s="402">
        <f t="shared" ca="1" si="151"/>
        <v>0.01</v>
      </c>
      <c r="B326" s="357">
        <f t="shared" ca="1" si="152"/>
        <v>3.2199999999999753</v>
      </c>
      <c r="C326" s="342"/>
      <c r="D326" s="359">
        <f t="shared" ca="1" si="153"/>
        <v>3.6097100826560591</v>
      </c>
      <c r="E326" s="360">
        <f t="shared" ca="1" si="154"/>
        <v>5.1023763525775365</v>
      </c>
      <c r="F326" s="357">
        <f t="shared" ca="1" si="155"/>
        <v>6.2501401043633624</v>
      </c>
      <c r="G326" s="359">
        <f t="shared" ca="1" si="156"/>
        <v>41.447876477029993</v>
      </c>
      <c r="H326" s="360">
        <f t="shared" ca="1" si="157"/>
        <v>171.13070200556797</v>
      </c>
      <c r="I326" s="357">
        <f t="shared" ca="1" si="158"/>
        <v>176.07851553603479</v>
      </c>
      <c r="J326" s="359">
        <f t="shared" ca="1" si="159"/>
        <v>72.674976859116285</v>
      </c>
      <c r="K326" s="360">
        <f t="shared" ca="1" si="160"/>
        <v>325.3575667580202</v>
      </c>
      <c r="L326" s="357">
        <f t="shared" ca="1" si="145"/>
        <v>333.37546176671833</v>
      </c>
      <c r="M326" s="359">
        <f t="shared" ca="1" si="161"/>
        <v>1.33317209264102</v>
      </c>
      <c r="N326" s="357">
        <f t="shared" ca="1" si="162"/>
        <v>76.385134272954446</v>
      </c>
      <c r="O326" s="343"/>
      <c r="P326" s="363">
        <f t="shared" ca="1" si="163"/>
        <v>9</v>
      </c>
      <c r="Q326" s="357">
        <f t="shared" ca="1" si="164"/>
        <v>216.2222222222367</v>
      </c>
      <c r="R326" s="359">
        <f t="shared" ca="1" si="165"/>
        <v>0.1085118591679681</v>
      </c>
      <c r="S326" s="360">
        <f t="shared" ca="1" si="166"/>
        <v>8.6716009071543283</v>
      </c>
      <c r="T326" s="357">
        <f t="shared" ca="1" si="146"/>
        <v>85.06840489918396</v>
      </c>
      <c r="U326" s="364">
        <f t="shared" ca="1" si="147"/>
        <v>0</v>
      </c>
      <c r="V326" s="359">
        <f t="shared" ca="1" si="148"/>
        <v>1.1857816966595047</v>
      </c>
      <c r="W326" s="357">
        <f t="shared" ca="1" si="149"/>
        <v>83.214133755408014</v>
      </c>
      <c r="X326" s="343"/>
      <c r="Y326" s="367" t="str">
        <f t="shared" ca="1" si="167"/>
        <v/>
      </c>
      <c r="Z326" s="368" t="str">
        <f t="shared" ca="1" si="168"/>
        <v/>
      </c>
      <c r="AA326" s="369" t="str">
        <f t="shared" ca="1" si="169"/>
        <v/>
      </c>
      <c r="AB326" s="344"/>
      <c r="AC326" s="363" t="e">
        <f t="shared" ca="1" si="170"/>
        <v>#N/A</v>
      </c>
      <c r="AD326" s="376" t="e">
        <f t="shared" ca="1" si="171"/>
        <v>#N/A</v>
      </c>
      <c r="AE326" s="377">
        <f t="shared" ca="1" si="150"/>
        <v>325.3575667580202</v>
      </c>
      <c r="AF326" s="344"/>
      <c r="AG326" s="359">
        <f t="shared" ca="1" si="172"/>
        <v>5.8084020258632183</v>
      </c>
      <c r="AH326" s="357">
        <f t="shared" ca="1" si="173"/>
        <v>15.343043223615794</v>
      </c>
    </row>
    <row r="327" spans="1:34" x14ac:dyDescent="0.25">
      <c r="A327" s="402">
        <f t="shared" ca="1" si="151"/>
        <v>0.01</v>
      </c>
      <c r="B327" s="357">
        <f t="shared" ca="1" si="152"/>
        <v>3.2299999999999751</v>
      </c>
      <c r="C327" s="342"/>
      <c r="D327" s="359">
        <f t="shared" ca="1" si="153"/>
        <v>3.4521302885098799</v>
      </c>
      <c r="E327" s="360">
        <f t="shared" ca="1" si="154"/>
        <v>4.4432146372993611</v>
      </c>
      <c r="F327" s="357">
        <f t="shared" ca="1" si="155"/>
        <v>5.6266650728436467</v>
      </c>
      <c r="G327" s="359">
        <f t="shared" ca="1" si="156"/>
        <v>41.48239777991509</v>
      </c>
      <c r="H327" s="360">
        <f t="shared" ca="1" si="157"/>
        <v>171.17513415194097</v>
      </c>
      <c r="I327" s="357">
        <f t="shared" ca="1" si="158"/>
        <v>176.12982676851212</v>
      </c>
      <c r="J327" s="359">
        <f t="shared" ca="1" si="159"/>
        <v>73.089628230401004</v>
      </c>
      <c r="K327" s="360">
        <f t="shared" ca="1" si="160"/>
        <v>327.06909593880772</v>
      </c>
      <c r="L327" s="357">
        <f t="shared" ca="1" si="145"/>
        <v>335.13622196516928</v>
      </c>
      <c r="M327" s="359">
        <f t="shared" ca="1" si="161"/>
        <v>1.3330409837881667</v>
      </c>
      <c r="N327" s="357">
        <f t="shared" ca="1" si="162"/>
        <v>76.377622289029148</v>
      </c>
      <c r="O327" s="343"/>
      <c r="P327" s="363">
        <f t="shared" ca="1" si="163"/>
        <v>9</v>
      </c>
      <c r="Q327" s="357">
        <f t="shared" ca="1" si="164"/>
        <v>210.37037037038499</v>
      </c>
      <c r="R327" s="359">
        <f t="shared" ca="1" si="165"/>
        <v>0.10557508737137039</v>
      </c>
      <c r="S327" s="360">
        <f t="shared" ca="1" si="166"/>
        <v>8.670545156280614</v>
      </c>
      <c r="T327" s="357">
        <f t="shared" ca="1" si="146"/>
        <v>85.058047983112829</v>
      </c>
      <c r="U327" s="364">
        <f t="shared" ca="1" si="147"/>
        <v>0</v>
      </c>
      <c r="V327" s="359">
        <f t="shared" ca="1" si="148"/>
        <v>1.1855787100310404</v>
      </c>
      <c r="W327" s="357">
        <f t="shared" ca="1" si="149"/>
        <v>83.248386649241652</v>
      </c>
      <c r="X327" s="343"/>
      <c r="Y327" s="367" t="str">
        <f t="shared" ca="1" si="167"/>
        <v/>
      </c>
      <c r="Z327" s="368" t="str">
        <f t="shared" ca="1" si="168"/>
        <v/>
      </c>
      <c r="AA327" s="369" t="str">
        <f t="shared" ca="1" si="169"/>
        <v/>
      </c>
      <c r="AB327" s="344"/>
      <c r="AC327" s="363" t="e">
        <f t="shared" ca="1" si="170"/>
        <v>#N/A</v>
      </c>
      <c r="AD327" s="376" t="e">
        <f t="shared" ca="1" si="171"/>
        <v>#N/A</v>
      </c>
      <c r="AE327" s="377">
        <f t="shared" ca="1" si="150"/>
        <v>327.06909593880772</v>
      </c>
      <c r="AF327" s="344"/>
      <c r="AG327" s="359">
        <f t="shared" ca="1" si="172"/>
        <v>5.1309718682761876</v>
      </c>
      <c r="AH327" s="357">
        <f t="shared" ca="1" si="173"/>
        <v>14.665310464690888</v>
      </c>
    </row>
    <row r="328" spans="1:34" x14ac:dyDescent="0.25">
      <c r="A328" s="402">
        <f t="shared" ca="1" si="151"/>
        <v>0.01</v>
      </c>
      <c r="B328" s="357">
        <f t="shared" ca="1" si="152"/>
        <v>3.2399999999999749</v>
      </c>
      <c r="C328" s="342"/>
      <c r="D328" s="359">
        <f t="shared" ca="1" si="153"/>
        <v>3.2945022022236947</v>
      </c>
      <c r="E328" s="360">
        <f t="shared" ca="1" si="154"/>
        <v>3.7846060645161721</v>
      </c>
      <c r="F328" s="357">
        <f t="shared" ca="1" si="155"/>
        <v>5.0176675681066554</v>
      </c>
      <c r="G328" s="359">
        <f t="shared" ca="1" si="156"/>
        <v>41.515342801937329</v>
      </c>
      <c r="H328" s="360">
        <f t="shared" ca="1" si="157"/>
        <v>171.21298021258613</v>
      </c>
      <c r="I328" s="357">
        <f t="shared" ca="1" si="158"/>
        <v>176.17436896790005</v>
      </c>
      <c r="J328" s="359">
        <f t="shared" ca="1" si="159"/>
        <v>73.50461693331026</v>
      </c>
      <c r="K328" s="360">
        <f t="shared" ca="1" si="160"/>
        <v>328.78103651063037</v>
      </c>
      <c r="L328" s="357">
        <f t="shared" ca="1" si="145"/>
        <v>336.89746018561368</v>
      </c>
      <c r="M328" s="359">
        <f t="shared" ca="1" si="161"/>
        <v>1.3329098371302293</v>
      </c>
      <c r="N328" s="357">
        <f t="shared" ca="1" si="162"/>
        <v>76.370108139032084</v>
      </c>
      <c r="O328" s="343"/>
      <c r="P328" s="363">
        <f t="shared" ca="1" si="163"/>
        <v>9</v>
      </c>
      <c r="Q328" s="357">
        <f t="shared" ca="1" si="164"/>
        <v>204.51851851853326</v>
      </c>
      <c r="R328" s="359">
        <f t="shared" ca="1" si="165"/>
        <v>0.10263831557477268</v>
      </c>
      <c r="S328" s="360">
        <f t="shared" ca="1" si="166"/>
        <v>8.6695187731248655</v>
      </c>
      <c r="T328" s="357">
        <f t="shared" ca="1" si="146"/>
        <v>85.047979164354942</v>
      </c>
      <c r="U328" s="364">
        <f t="shared" ca="1" si="147"/>
        <v>0</v>
      </c>
      <c r="V328" s="359">
        <f t="shared" ca="1" si="148"/>
        <v>1.1853757088039694</v>
      </c>
      <c r="W328" s="357">
        <f t="shared" ca="1" si="149"/>
        <v>83.276236578609854</v>
      </c>
      <c r="X328" s="343"/>
      <c r="Y328" s="367" t="str">
        <f t="shared" ca="1" si="167"/>
        <v/>
      </c>
      <c r="Z328" s="368" t="str">
        <f t="shared" ca="1" si="168"/>
        <v/>
      </c>
      <c r="AA328" s="369" t="str">
        <f t="shared" ca="1" si="169"/>
        <v/>
      </c>
      <c r="AB328" s="344"/>
      <c r="AC328" s="363" t="e">
        <f t="shared" ca="1" si="170"/>
        <v>#N/A</v>
      </c>
      <c r="AD328" s="376" t="e">
        <f t="shared" ca="1" si="171"/>
        <v>#N/A</v>
      </c>
      <c r="AE328" s="377">
        <f t="shared" ca="1" si="150"/>
        <v>328.78103651063037</v>
      </c>
      <c r="AF328" s="344"/>
      <c r="AG328" s="359">
        <f t="shared" ca="1" si="172"/>
        <v>4.4540684337146228</v>
      </c>
      <c r="AH328" s="357">
        <f t="shared" ca="1" si="173"/>
        <v>13.988104189268704</v>
      </c>
    </row>
    <row r="329" spans="1:34" x14ac:dyDescent="0.25">
      <c r="A329" s="402">
        <f t="shared" ca="1" si="151"/>
        <v>0.01</v>
      </c>
      <c r="B329" s="357">
        <f t="shared" ca="1" si="152"/>
        <v>3.2499999999999747</v>
      </c>
      <c r="C329" s="342"/>
      <c r="D329" s="359">
        <f t="shared" ca="1" si="153"/>
        <v>3.1368276123433052</v>
      </c>
      <c r="E329" s="360">
        <f t="shared" ca="1" si="154"/>
        <v>3.1265571298466011</v>
      </c>
      <c r="F329" s="357">
        <f t="shared" ca="1" si="155"/>
        <v>4.4288877786363043</v>
      </c>
      <c r="G329" s="359">
        <f t="shared" ca="1" si="156"/>
        <v>41.54671107806076</v>
      </c>
      <c r="H329" s="360">
        <f t="shared" ca="1" si="157"/>
        <v>171.24424578388459</v>
      </c>
      <c r="I329" s="357">
        <f t="shared" ca="1" si="158"/>
        <v>176.21214746859914</v>
      </c>
      <c r="J329" s="359">
        <f t="shared" ca="1" si="159"/>
        <v>73.919927202710255</v>
      </c>
      <c r="K329" s="360">
        <f t="shared" ca="1" si="160"/>
        <v>330.49332264061275</v>
      </c>
      <c r="L329" s="357">
        <f t="shared" ca="1" si="145"/>
        <v>338.65910876231595</v>
      </c>
      <c r="M329" s="359">
        <f t="shared" ca="1" si="161"/>
        <v>1.3327786476327566</v>
      </c>
      <c r="N329" s="357">
        <f t="shared" ca="1" si="162"/>
        <v>76.362591534510457</v>
      </c>
      <c r="O329" s="343"/>
      <c r="P329" s="363">
        <f t="shared" ca="1" si="163"/>
        <v>9</v>
      </c>
      <c r="Q329" s="357">
        <f t="shared" ca="1" si="164"/>
        <v>198.66666666668152</v>
      </c>
      <c r="R329" s="359">
        <f t="shared" ca="1" si="165"/>
        <v>9.9701543778174959E-2</v>
      </c>
      <c r="S329" s="360">
        <f t="shared" ca="1" si="166"/>
        <v>8.668521757687083</v>
      </c>
      <c r="T329" s="357">
        <f t="shared" ca="1" si="146"/>
        <v>85.038198442910286</v>
      </c>
      <c r="U329" s="364">
        <f t="shared" ca="1" si="147"/>
        <v>0</v>
      </c>
      <c r="V329" s="359">
        <f t="shared" ca="1" si="148"/>
        <v>1.1851727007987658</v>
      </c>
      <c r="W329" s="357">
        <f t="shared" ca="1" si="149"/>
        <v>83.297687562430042</v>
      </c>
      <c r="X329" s="343"/>
      <c r="Y329" s="367" t="str">
        <f t="shared" ca="1" si="167"/>
        <v/>
      </c>
      <c r="Z329" s="368" t="str">
        <f t="shared" ca="1" si="168"/>
        <v/>
      </c>
      <c r="AA329" s="369" t="str">
        <f t="shared" ca="1" si="169"/>
        <v/>
      </c>
      <c r="AB329" s="344"/>
      <c r="AC329" s="363" t="e">
        <f t="shared" ca="1" si="170"/>
        <v>#N/A</v>
      </c>
      <c r="AD329" s="376" t="e">
        <f t="shared" ca="1" si="171"/>
        <v>#N/A</v>
      </c>
      <c r="AE329" s="377">
        <f t="shared" ca="1" si="150"/>
        <v>330.49332264061275</v>
      </c>
      <c r="AF329" s="344"/>
      <c r="AG329" s="359">
        <f t="shared" ca="1" si="172"/>
        <v>3.7776984333301353</v>
      </c>
      <c r="AH329" s="357">
        <f t="shared" ca="1" si="173"/>
        <v>13.311431096743293</v>
      </c>
    </row>
    <row r="330" spans="1:34" x14ac:dyDescent="0.25">
      <c r="A330" s="402">
        <f t="shared" ca="1" si="151"/>
        <v>0.01</v>
      </c>
      <c r="B330" s="357">
        <f t="shared" ca="1" si="152"/>
        <v>3.2599999999999745</v>
      </c>
      <c r="C330" s="342"/>
      <c r="D330" s="359">
        <f t="shared" ca="1" si="153"/>
        <v>2.9791082738941586</v>
      </c>
      <c r="E330" s="360">
        <f t="shared" ca="1" si="154"/>
        <v>2.4690742331690618</v>
      </c>
      <c r="F330" s="357">
        <f t="shared" ca="1" si="155"/>
        <v>3.8692911077462266</v>
      </c>
      <c r="G330" s="359">
        <f t="shared" ca="1" si="156"/>
        <v>41.576502160799699</v>
      </c>
      <c r="H330" s="360">
        <f t="shared" ca="1" si="157"/>
        <v>171.26893652621629</v>
      </c>
      <c r="I330" s="357">
        <f t="shared" ca="1" si="158"/>
        <v>176.24316767111313</v>
      </c>
      <c r="J330" s="359">
        <f t="shared" ca="1" si="159"/>
        <v>74.335543268904559</v>
      </c>
      <c r="K330" s="360">
        <f t="shared" ca="1" si="160"/>
        <v>332.20588855216323</v>
      </c>
      <c r="L330" s="357">
        <f t="shared" ca="1" si="145"/>
        <v>340.4211000831404</v>
      </c>
      <c r="M330" s="359">
        <f t="shared" ca="1" si="161"/>
        <v>1.3326474102609043</v>
      </c>
      <c r="N330" s="357">
        <f t="shared" ca="1" si="162"/>
        <v>76.355072186988934</v>
      </c>
      <c r="O330" s="343"/>
      <c r="P330" s="363">
        <f t="shared" ca="1" si="163"/>
        <v>9</v>
      </c>
      <c r="Q330" s="357">
        <f t="shared" ca="1" si="164"/>
        <v>192.81481481482979</v>
      </c>
      <c r="R330" s="359">
        <f t="shared" ca="1" si="165"/>
        <v>9.6764771981577249E-2</v>
      </c>
      <c r="S330" s="360">
        <f t="shared" ca="1" si="166"/>
        <v>8.6675541099672664</v>
      </c>
      <c r="T330" s="357">
        <f t="shared" ca="1" si="146"/>
        <v>85.028705818778889</v>
      </c>
      <c r="U330" s="364">
        <f t="shared" ca="1" si="147"/>
        <v>0</v>
      </c>
      <c r="V330" s="359">
        <f t="shared" ca="1" si="148"/>
        <v>1.1849696938239713</v>
      </c>
      <c r="W330" s="357">
        <f t="shared" ca="1" si="149"/>
        <v>83.312744423321973</v>
      </c>
      <c r="X330" s="343"/>
      <c r="Y330" s="367" t="str">
        <f t="shared" ca="1" si="167"/>
        <v/>
      </c>
      <c r="Z330" s="368" t="str">
        <f t="shared" ca="1" si="168"/>
        <v/>
      </c>
      <c r="AA330" s="369" t="str">
        <f t="shared" ca="1" si="169"/>
        <v/>
      </c>
      <c r="AB330" s="344"/>
      <c r="AC330" s="363" t="e">
        <f t="shared" ca="1" si="170"/>
        <v>#N/A</v>
      </c>
      <c r="AD330" s="376" t="e">
        <f t="shared" ca="1" si="171"/>
        <v>#N/A</v>
      </c>
      <c r="AE330" s="377">
        <f t="shared" ca="1" si="150"/>
        <v>332.20588855216323</v>
      </c>
      <c r="AF330" s="344"/>
      <c r="AG330" s="359">
        <f t="shared" ca="1" si="172"/>
        <v>3.1018684774079031</v>
      </c>
      <c r="AH330" s="357">
        <f t="shared" ca="1" si="173"/>
        <v>12.635297785618709</v>
      </c>
    </row>
    <row r="331" spans="1:34" x14ac:dyDescent="0.25">
      <c r="A331" s="402">
        <f t="shared" ca="1" si="151"/>
        <v>0.01</v>
      </c>
      <c r="B331" s="357">
        <f t="shared" ca="1" si="152"/>
        <v>3.2699999999999743</v>
      </c>
      <c r="C331" s="342"/>
      <c r="D331" s="359">
        <f t="shared" ca="1" si="153"/>
        <v>2.8213459084033565</v>
      </c>
      <c r="E331" s="360">
        <f t="shared" ca="1" si="154"/>
        <v>1.8121636788009283</v>
      </c>
      <c r="F331" s="357">
        <f t="shared" ca="1" si="155"/>
        <v>3.3531969720894232</v>
      </c>
      <c r="G331" s="359">
        <f t="shared" ca="1" si="156"/>
        <v>41.604715619883734</v>
      </c>
      <c r="H331" s="360">
        <f t="shared" ca="1" si="157"/>
        <v>171.2870581630043</v>
      </c>
      <c r="I331" s="357">
        <f t="shared" ca="1" si="158"/>
        <v>176.26743504104158</v>
      </c>
      <c r="J331" s="359">
        <f t="shared" ca="1" si="159"/>
        <v>74.751449357807971</v>
      </c>
      <c r="K331" s="360">
        <f t="shared" ca="1" si="160"/>
        <v>333.91866852560935</v>
      </c>
      <c r="L331" s="357">
        <f t="shared" ca="1" si="145"/>
        <v>342.18336659020804</v>
      </c>
      <c r="M331" s="359">
        <f t="shared" ca="1" si="161"/>
        <v>1.3325161199783309</v>
      </c>
      <c r="N331" s="357">
        <f t="shared" ca="1" si="162"/>
        <v>76.34754980790639</v>
      </c>
      <c r="O331" s="343"/>
      <c r="P331" s="363">
        <f t="shared" ca="1" si="163"/>
        <v>9</v>
      </c>
      <c r="Q331" s="357">
        <f t="shared" ca="1" si="164"/>
        <v>186.96296296297808</v>
      </c>
      <c r="R331" s="359">
        <f t="shared" ca="1" si="165"/>
        <v>9.382800018497954E-2</v>
      </c>
      <c r="S331" s="360">
        <f t="shared" ca="1" si="166"/>
        <v>8.6666158299654175</v>
      </c>
      <c r="T331" s="357">
        <f t="shared" ca="1" si="146"/>
        <v>85.019501291960751</v>
      </c>
      <c r="U331" s="364">
        <f t="shared" ca="1" si="147"/>
        <v>0</v>
      </c>
      <c r="V331" s="359">
        <f t="shared" ca="1" si="148"/>
        <v>1.1847666956761236</v>
      </c>
      <c r="W331" s="357">
        <f t="shared" ca="1" si="149"/>
        <v>83.321412783648313</v>
      </c>
      <c r="X331" s="343"/>
      <c r="Y331" s="367" t="str">
        <f t="shared" ca="1" si="167"/>
        <v/>
      </c>
      <c r="Z331" s="368" t="str">
        <f t="shared" ca="1" si="168"/>
        <v/>
      </c>
      <c r="AA331" s="369" t="str">
        <f t="shared" ca="1" si="169"/>
        <v/>
      </c>
      <c r="AB331" s="344"/>
      <c r="AC331" s="363" t="e">
        <f t="shared" ca="1" si="170"/>
        <v>#N/A</v>
      </c>
      <c r="AD331" s="376" t="e">
        <f t="shared" ca="1" si="171"/>
        <v>#N/A</v>
      </c>
      <c r="AE331" s="377">
        <f t="shared" ca="1" si="150"/>
        <v>333.91866852560935</v>
      </c>
      <c r="AF331" s="344"/>
      <c r="AG331" s="359">
        <f t="shared" ca="1" si="172"/>
        <v>2.4265850755408476</v>
      </c>
      <c r="AH331" s="357">
        <f t="shared" ca="1" si="173"/>
        <v>11.959710753680621</v>
      </c>
    </row>
    <row r="332" spans="1:34" x14ac:dyDescent="0.25">
      <c r="A332" s="402">
        <f t="shared" ca="1" si="151"/>
        <v>0.01</v>
      </c>
      <c r="B332" s="357">
        <f t="shared" ca="1" si="152"/>
        <v>3.279999999999974</v>
      </c>
      <c r="C332" s="342"/>
      <c r="D332" s="359">
        <f t="shared" ca="1" si="153"/>
        <v>2.6635422039200982</v>
      </c>
      <c r="E332" s="360">
        <f t="shared" ca="1" si="154"/>
        <v>1.1558316756871854</v>
      </c>
      <c r="F332" s="357">
        <f t="shared" ca="1" si="155"/>
        <v>2.9035157885889618</v>
      </c>
      <c r="G332" s="359">
        <f t="shared" ca="1" si="156"/>
        <v>41.631351041922933</v>
      </c>
      <c r="H332" s="360">
        <f t="shared" ca="1" si="157"/>
        <v>171.29861647976117</v>
      </c>
      <c r="I332" s="357">
        <f t="shared" ca="1" si="158"/>
        <v>176.28495510807528</v>
      </c>
      <c r="J332" s="359">
        <f t="shared" ca="1" si="159"/>
        <v>75.167629691117</v>
      </c>
      <c r="K332" s="360">
        <f t="shared" ca="1" si="160"/>
        <v>335.63159689882315</v>
      </c>
      <c r="L332" s="357">
        <f t="shared" ca="1" si="145"/>
        <v>343.94584078054356</v>
      </c>
      <c r="M332" s="359">
        <f t="shared" ca="1" si="161"/>
        <v>1.3323847717460948</v>
      </c>
      <c r="N332" s="357">
        <f t="shared" ca="1" si="162"/>
        <v>76.340024108552768</v>
      </c>
      <c r="O332" s="343"/>
      <c r="P332" s="363">
        <f t="shared" ca="1" si="163"/>
        <v>9</v>
      </c>
      <c r="Q332" s="357">
        <f t="shared" ca="1" si="164"/>
        <v>181.11111111112635</v>
      </c>
      <c r="R332" s="359">
        <f t="shared" ca="1" si="165"/>
        <v>9.0891228388381831E-2</v>
      </c>
      <c r="S332" s="360">
        <f t="shared" ca="1" si="166"/>
        <v>8.6657069176815344</v>
      </c>
      <c r="T332" s="357">
        <f t="shared" ca="1" si="146"/>
        <v>85.010584862455858</v>
      </c>
      <c r="U332" s="364">
        <f t="shared" ca="1" si="147"/>
        <v>0</v>
      </c>
      <c r="V332" s="359">
        <f t="shared" ca="1" si="148"/>
        <v>1.1845637141396919</v>
      </c>
      <c r="W332" s="357">
        <f t="shared" ca="1" si="149"/>
        <v>83.323699061527691</v>
      </c>
      <c r="X332" s="343"/>
      <c r="Y332" s="367" t="str">
        <f t="shared" ca="1" si="167"/>
        <v/>
      </c>
      <c r="Z332" s="368" t="str">
        <f t="shared" ca="1" si="168"/>
        <v/>
      </c>
      <c r="AA332" s="369" t="str">
        <f t="shared" ca="1" si="169"/>
        <v/>
      </c>
      <c r="AB332" s="344"/>
      <c r="AC332" s="363" t="e">
        <f t="shared" ca="1" si="170"/>
        <v>#N/A</v>
      </c>
      <c r="AD332" s="376" t="e">
        <f t="shared" ca="1" si="171"/>
        <v>#N/A</v>
      </c>
      <c r="AE332" s="377">
        <f t="shared" ca="1" si="150"/>
        <v>335.63159689882315</v>
      </c>
      <c r="AF332" s="344"/>
      <c r="AG332" s="359">
        <f t="shared" ca="1" si="172"/>
        <v>1.7518546368126877</v>
      </c>
      <c r="AH332" s="357">
        <f t="shared" ca="1" si="173"/>
        <v>11.284676398176776</v>
      </c>
    </row>
    <row r="333" spans="1:34" x14ac:dyDescent="0.25">
      <c r="A333" s="402">
        <f t="shared" ca="1" si="151"/>
        <v>0.01</v>
      </c>
      <c r="B333" s="357">
        <f t="shared" ca="1" si="152"/>
        <v>3.2899999999999738</v>
      </c>
      <c r="C333" s="342"/>
      <c r="D333" s="359">
        <f t="shared" ca="1" si="153"/>
        <v>2.5056988150344655</v>
      </c>
      <c r="E333" s="360">
        <f t="shared" ca="1" si="154"/>
        <v>0.5000843375981745</v>
      </c>
      <c r="F333" s="357">
        <f t="shared" ca="1" si="155"/>
        <v>2.55511465425255</v>
      </c>
      <c r="G333" s="359">
        <f t="shared" ca="1" si="156"/>
        <v>41.65640803007328</v>
      </c>
      <c r="H333" s="360">
        <f t="shared" ca="1" si="157"/>
        <v>171.30361732313716</v>
      </c>
      <c r="I333" s="357">
        <f t="shared" ca="1" si="158"/>
        <v>176.29573346499276</v>
      </c>
      <c r="J333" s="359">
        <f t="shared" ca="1" si="159"/>
        <v>75.58406848647698</v>
      </c>
      <c r="K333" s="360">
        <f t="shared" ca="1" si="160"/>
        <v>337.34460806783761</v>
      </c>
      <c r="L333" s="357">
        <f t="shared" ca="1" si="145"/>
        <v>345.7084552067123</v>
      </c>
      <c r="M333" s="359">
        <f t="shared" ca="1" si="161"/>
        <v>1.3322533605215512</v>
      </c>
      <c r="N333" s="357">
        <f t="shared" ca="1" si="162"/>
        <v>76.332494800005776</v>
      </c>
      <c r="O333" s="343"/>
      <c r="P333" s="363">
        <f t="shared" ca="1" si="163"/>
        <v>9</v>
      </c>
      <c r="Q333" s="357">
        <f t="shared" ca="1" si="164"/>
        <v>175.25925925927461</v>
      </c>
      <c r="R333" s="359">
        <f t="shared" ca="1" si="165"/>
        <v>8.7954456591784108E-2</v>
      </c>
      <c r="S333" s="360">
        <f t="shared" ca="1" si="166"/>
        <v>8.6648273731156173</v>
      </c>
      <c r="T333" s="357">
        <f t="shared" ca="1" si="146"/>
        <v>85.001956530264209</v>
      </c>
      <c r="U333" s="364">
        <f t="shared" ca="1" si="147"/>
        <v>0</v>
      </c>
      <c r="V333" s="359">
        <f t="shared" ca="1" si="148"/>
        <v>1.1843607569870096</v>
      </c>
      <c r="W333" s="357">
        <f t="shared" ca="1" si="149"/>
        <v>83.319610466818602</v>
      </c>
      <c r="X333" s="343"/>
      <c r="Y333" s="367" t="str">
        <f t="shared" ca="1" si="167"/>
        <v/>
      </c>
      <c r="Z333" s="368" t="str">
        <f t="shared" ca="1" si="168"/>
        <v/>
      </c>
      <c r="AA333" s="369" t="str">
        <f t="shared" ca="1" si="169"/>
        <v/>
      </c>
      <c r="AB333" s="344"/>
      <c r="AC333" s="363" t="e">
        <f t="shared" ca="1" si="170"/>
        <v>#N/A</v>
      </c>
      <c r="AD333" s="376" t="e">
        <f t="shared" ca="1" si="171"/>
        <v>#N/A</v>
      </c>
      <c r="AE333" s="377">
        <f t="shared" ca="1" si="150"/>
        <v>337.34460806783761</v>
      </c>
      <c r="AF333" s="344"/>
      <c r="AG333" s="359">
        <f t="shared" ca="1" si="172"/>
        <v>1.0776834699893936</v>
      </c>
      <c r="AH333" s="357">
        <f t="shared" ca="1" si="173"/>
        <v>10.610201016005885</v>
      </c>
    </row>
    <row r="334" spans="1:34" x14ac:dyDescent="0.25">
      <c r="A334" s="402">
        <f t="shared" ca="1" si="151"/>
        <v>0.01</v>
      </c>
      <c r="B334" s="357">
        <f t="shared" ca="1" si="152"/>
        <v>3.2999999999999736</v>
      </c>
      <c r="C334" s="342"/>
      <c r="D334" s="359">
        <f t="shared" ca="1" si="153"/>
        <v>2.3478173628946131</v>
      </c>
      <c r="E334" s="360">
        <f t="shared" ca="1" si="154"/>
        <v>-0.15507231666348531</v>
      </c>
      <c r="F334" s="357">
        <f t="shared" ca="1" si="155"/>
        <v>2.3529330192134235</v>
      </c>
      <c r="G334" s="359">
        <f t="shared" ca="1" si="156"/>
        <v>41.679886203702225</v>
      </c>
      <c r="H334" s="360">
        <f t="shared" ca="1" si="157"/>
        <v>171.30206659997052</v>
      </c>
      <c r="I334" s="357">
        <f t="shared" ca="1" si="158"/>
        <v>176.29977576665917</v>
      </c>
      <c r="J334" s="359">
        <f t="shared" ca="1" si="159"/>
        <v>76.000749957645851</v>
      </c>
      <c r="K334" s="360">
        <f t="shared" ca="1" si="160"/>
        <v>339.05763648745312</v>
      </c>
      <c r="L334" s="357">
        <f t="shared" ca="1" si="145"/>
        <v>347.47114247744736</v>
      </c>
      <c r="M334" s="359">
        <f t="shared" ca="1" si="161"/>
        <v>1.3321218812572484</v>
      </c>
      <c r="N334" s="357">
        <f t="shared" ca="1" si="162"/>
        <v>76.324961593067741</v>
      </c>
      <c r="O334" s="343"/>
      <c r="P334" s="363">
        <f t="shared" ca="1" si="163"/>
        <v>9</v>
      </c>
      <c r="Q334" s="357">
        <f t="shared" ca="1" si="164"/>
        <v>169.40740740742291</v>
      </c>
      <c r="R334" s="359">
        <f t="shared" ca="1" si="165"/>
        <v>8.5017684795186413E-2</v>
      </c>
      <c r="S334" s="360">
        <f t="shared" ca="1" si="166"/>
        <v>8.6639771962676662</v>
      </c>
      <c r="T334" s="357">
        <f t="shared" ca="1" si="146"/>
        <v>84.993616295385806</v>
      </c>
      <c r="U334" s="364">
        <f t="shared" ca="1" si="147"/>
        <v>0</v>
      </c>
      <c r="V334" s="359">
        <f t="shared" ca="1" si="148"/>
        <v>1.1841578319782116</v>
      </c>
      <c r="W334" s="357">
        <f t="shared" ca="1" si="149"/>
        <v>83.309154997077243</v>
      </c>
      <c r="X334" s="343"/>
      <c r="Y334" s="367" t="str">
        <f t="shared" ca="1" si="167"/>
        <v/>
      </c>
      <c r="Z334" s="368" t="str">
        <f t="shared" ca="1" si="168"/>
        <v/>
      </c>
      <c r="AA334" s="369" t="str">
        <f t="shared" ca="1" si="169"/>
        <v/>
      </c>
      <c r="AB334" s="344"/>
      <c r="AC334" s="363" t="e">
        <f t="shared" ca="1" si="170"/>
        <v>#N/A</v>
      </c>
      <c r="AD334" s="376" t="e">
        <f t="shared" ca="1" si="171"/>
        <v>#N/A</v>
      </c>
      <c r="AE334" s="377">
        <f t="shared" ca="1" si="150"/>
        <v>339.05763648745312</v>
      </c>
      <c r="AF334" s="344"/>
      <c r="AG334" s="359">
        <f t="shared" ca="1" si="172"/>
        <v>0.40407778371925573</v>
      </c>
      <c r="AH334" s="357">
        <f t="shared" ca="1" si="173"/>
        <v>9.9362908039150728</v>
      </c>
    </row>
    <row r="335" spans="1:34" x14ac:dyDescent="0.25">
      <c r="A335" s="402">
        <f t="shared" ca="1" si="151"/>
        <v>0.01</v>
      </c>
      <c r="B335" s="357">
        <f t="shared" ca="1" si="152"/>
        <v>3.3099999999999734</v>
      </c>
      <c r="C335" s="342"/>
      <c r="D335" s="359">
        <f t="shared" ca="1" si="153"/>
        <v>2.1898994352222703</v>
      </c>
      <c r="E335" s="360">
        <f t="shared" ca="1" si="154"/>
        <v>-0.80963236304705255</v>
      </c>
      <c r="F335" s="357">
        <f t="shared" ca="1" si="155"/>
        <v>2.3347728154319367</v>
      </c>
      <c r="G335" s="359">
        <f t="shared" ca="1" si="156"/>
        <v>41.701785198054445</v>
      </c>
      <c r="H335" s="360">
        <f t="shared" ca="1" si="157"/>
        <v>171.29397027634005</v>
      </c>
      <c r="I335" s="357">
        <f t="shared" ca="1" si="158"/>
        <v>176.29708772902728</v>
      </c>
      <c r="J335" s="359">
        <f t="shared" ca="1" si="159"/>
        <v>76.417658314654631</v>
      </c>
      <c r="K335" s="360">
        <f t="shared" ca="1" si="160"/>
        <v>340.77061667183466</v>
      </c>
      <c r="L335" s="357">
        <f t="shared" ca="1" si="145"/>
        <v>349.23383525826614</v>
      </c>
      <c r="M335" s="359">
        <f t="shared" ca="1" si="161"/>
        <v>1.331990328899824</v>
      </c>
      <c r="N335" s="357">
        <f t="shared" ca="1" si="162"/>
        <v>76.317424198202318</v>
      </c>
      <c r="O335" s="343"/>
      <c r="P335" s="363">
        <f t="shared" ca="1" si="163"/>
        <v>9</v>
      </c>
      <c r="Q335" s="357">
        <f t="shared" ca="1" si="164"/>
        <v>163.55555555557117</v>
      </c>
      <c r="R335" s="359">
        <f t="shared" ca="1" si="165"/>
        <v>8.208091299858869E-2</v>
      </c>
      <c r="S335" s="360">
        <f t="shared" ca="1" si="166"/>
        <v>8.6631563871376809</v>
      </c>
      <c r="T335" s="357">
        <f t="shared" ca="1" si="146"/>
        <v>84.985564157820647</v>
      </c>
      <c r="U335" s="364">
        <f t="shared" ca="1" si="147"/>
        <v>0</v>
      </c>
      <c r="V335" s="359">
        <f t="shared" ca="1" si="148"/>
        <v>1.1839549468611728</v>
      </c>
      <c r="W335" s="357">
        <f t="shared" ca="1" si="149"/>
        <v>83.292341433489938</v>
      </c>
      <c r="X335" s="343"/>
      <c r="Y335" s="367" t="str">
        <f t="shared" ca="1" si="167"/>
        <v/>
      </c>
      <c r="Z335" s="368" t="str">
        <f t="shared" ca="1" si="168"/>
        <v/>
      </c>
      <c r="AA335" s="369" t="str">
        <f t="shared" ca="1" si="169"/>
        <v/>
      </c>
      <c r="AB335" s="344"/>
      <c r="AC335" s="363" t="e">
        <f t="shared" ca="1" si="170"/>
        <v>#N/A</v>
      </c>
      <c r="AD335" s="376" t="e">
        <f t="shared" ca="1" si="171"/>
        <v>#N/A</v>
      </c>
      <c r="AE335" s="377">
        <f t="shared" ca="1" si="150"/>
        <v>340.77061667183466</v>
      </c>
      <c r="AF335" s="344"/>
      <c r="AG335" s="359">
        <f t="shared" ca="1" si="172"/>
        <v>-0.26895631325884395</v>
      </c>
      <c r="AH335" s="357">
        <f t="shared" ca="1" si="173"/>
        <v>9.262951858705561</v>
      </c>
    </row>
    <row r="336" spans="1:34" x14ac:dyDescent="0.25">
      <c r="A336" s="402">
        <f t="shared" ca="1" si="151"/>
        <v>0.01</v>
      </c>
      <c r="B336" s="357">
        <f t="shared" ca="1" si="152"/>
        <v>3.3199999999999732</v>
      </c>
      <c r="C336" s="342"/>
      <c r="D336" s="359">
        <f t="shared" ca="1" si="153"/>
        <v>2.0319465863265616</v>
      </c>
      <c r="E336" s="360">
        <f t="shared" ca="1" si="154"/>
        <v>-1.4635899720290375</v>
      </c>
      <c r="F336" s="357">
        <f t="shared" ca="1" si="155"/>
        <v>2.504177017686275</v>
      </c>
      <c r="G336" s="359">
        <f t="shared" ca="1" si="156"/>
        <v>41.722104663917712</v>
      </c>
      <c r="H336" s="360">
        <f t="shared" ca="1" si="157"/>
        <v>171.27933437661974</v>
      </c>
      <c r="I336" s="357">
        <f t="shared" ca="1" si="158"/>
        <v>176.28767512814053</v>
      </c>
      <c r="J336" s="359">
        <f t="shared" ca="1" si="159"/>
        <v>76.834777763964496</v>
      </c>
      <c r="K336" s="360">
        <f t="shared" ca="1" si="160"/>
        <v>342.48348319509944</v>
      </c>
      <c r="L336" s="357">
        <f t="shared" ca="1" si="145"/>
        <v>350.99646627207773</v>
      </c>
      <c r="M336" s="359">
        <f t="shared" ca="1" si="161"/>
        <v>1.3318586983888978</v>
      </c>
      <c r="N336" s="357">
        <f t="shared" ca="1" si="162"/>
        <v>76.309882325471094</v>
      </c>
      <c r="O336" s="343"/>
      <c r="P336" s="363">
        <f t="shared" ca="1" si="163"/>
        <v>9</v>
      </c>
      <c r="Q336" s="357">
        <f t="shared" ca="1" si="164"/>
        <v>157.70370370371944</v>
      </c>
      <c r="R336" s="359">
        <f t="shared" ca="1" si="165"/>
        <v>7.9144141201990981E-2</v>
      </c>
      <c r="S336" s="360">
        <f t="shared" ca="1" si="166"/>
        <v>8.6623649457256615</v>
      </c>
      <c r="T336" s="357">
        <f t="shared" ca="1" si="146"/>
        <v>84.977800117568748</v>
      </c>
      <c r="U336" s="364">
        <f t="shared" ca="1" si="147"/>
        <v>0</v>
      </c>
      <c r="V336" s="359">
        <f t="shared" ca="1" si="148"/>
        <v>1.183752109371446</v>
      </c>
      <c r="W336" s="357">
        <f t="shared" ca="1" si="149"/>
        <v>83.269179336780411</v>
      </c>
      <c r="X336" s="343"/>
      <c r="Y336" s="367" t="str">
        <f t="shared" ca="1" si="167"/>
        <v/>
      </c>
      <c r="Z336" s="368" t="str">
        <f t="shared" ca="1" si="168"/>
        <v/>
      </c>
      <c r="AA336" s="369" t="str">
        <f t="shared" ca="1" si="169"/>
        <v/>
      </c>
      <c r="AB336" s="344"/>
      <c r="AC336" s="363" t="e">
        <f t="shared" ca="1" si="170"/>
        <v>#N/A</v>
      </c>
      <c r="AD336" s="376" t="e">
        <f t="shared" ca="1" si="171"/>
        <v>#N/A</v>
      </c>
      <c r="AE336" s="377">
        <f t="shared" ca="1" si="150"/>
        <v>342.48348319509944</v>
      </c>
      <c r="AF336" s="344"/>
      <c r="AG336" s="359">
        <f t="shared" ca="1" si="172"/>
        <v>-0.9414128118989602</v>
      </c>
      <c r="AH336" s="357">
        <f t="shared" ca="1" si="173"/>
        <v>8.5901901774465053</v>
      </c>
    </row>
    <row r="337" spans="1:34" x14ac:dyDescent="0.25">
      <c r="A337" s="402">
        <f t="shared" ca="1" si="151"/>
        <v>0.01</v>
      </c>
      <c r="B337" s="357">
        <f t="shared" ca="1" si="152"/>
        <v>3.329999999999973</v>
      </c>
      <c r="C337" s="342"/>
      <c r="D337" s="359">
        <f t="shared" ca="1" si="153"/>
        <v>1.8739603371161409</v>
      </c>
      <c r="E337" s="360">
        <f t="shared" ca="1" si="154"/>
        <v>-2.1169394083798032</v>
      </c>
      <c r="F337" s="357">
        <f t="shared" ca="1" si="155"/>
        <v>2.8272176788913637</v>
      </c>
      <c r="G337" s="359">
        <f t="shared" ca="1" si="156"/>
        <v>41.740844267288871</v>
      </c>
      <c r="H337" s="360">
        <f t="shared" ca="1" si="157"/>
        <v>171.25816498253596</v>
      </c>
      <c r="I337" s="357">
        <f t="shared" ca="1" si="158"/>
        <v>176.27154379913841</v>
      </c>
      <c r="J337" s="359">
        <f t="shared" ca="1" si="159"/>
        <v>77.252092508620535</v>
      </c>
      <c r="K337" s="360">
        <f t="shared" ca="1" si="160"/>
        <v>344.19617069189519</v>
      </c>
      <c r="L337" s="357">
        <f t="shared" ca="1" si="145"/>
        <v>352.75896829977933</v>
      </c>
      <c r="M337" s="359">
        <f t="shared" ca="1" si="161"/>
        <v>1.3317269846559634</v>
      </c>
      <c r="N337" s="357">
        <f t="shared" ca="1" si="162"/>
        <v>76.302335684470052</v>
      </c>
      <c r="O337" s="343"/>
      <c r="P337" s="363">
        <f t="shared" ca="1" si="163"/>
        <v>9</v>
      </c>
      <c r="Q337" s="357">
        <f t="shared" ca="1" si="164"/>
        <v>151.85185185186771</v>
      </c>
      <c r="R337" s="359">
        <f t="shared" ca="1" si="165"/>
        <v>7.6207369405393258E-2</v>
      </c>
      <c r="S337" s="360">
        <f t="shared" ca="1" si="166"/>
        <v>8.6616028720316081</v>
      </c>
      <c r="T337" s="357">
        <f t="shared" ca="1" si="146"/>
        <v>84.970324174630079</v>
      </c>
      <c r="U337" s="364">
        <f t="shared" ca="1" si="147"/>
        <v>0</v>
      </c>
      <c r="V337" s="359">
        <f t="shared" ca="1" si="148"/>
        <v>1.1835493272322068</v>
      </c>
      <c r="W337" s="357">
        <f t="shared" ca="1" si="149"/>
        <v>83.239679043094597</v>
      </c>
      <c r="X337" s="343"/>
      <c r="Y337" s="367" t="str">
        <f t="shared" ca="1" si="167"/>
        <v/>
      </c>
      <c r="Z337" s="368" t="str">
        <f t="shared" ca="1" si="168"/>
        <v/>
      </c>
      <c r="AA337" s="369" t="str">
        <f t="shared" ca="1" si="169"/>
        <v/>
      </c>
      <c r="AB337" s="344"/>
      <c r="AC337" s="363" t="e">
        <f t="shared" ca="1" si="170"/>
        <v>#N/A</v>
      </c>
      <c r="AD337" s="376" t="e">
        <f t="shared" ca="1" si="171"/>
        <v>#N/A</v>
      </c>
      <c r="AE337" s="377">
        <f t="shared" ca="1" si="150"/>
        <v>344.19617069189519</v>
      </c>
      <c r="AF337" s="344"/>
      <c r="AG337" s="359">
        <f t="shared" ca="1" si="172"/>
        <v>-1.6132858026235262</v>
      </c>
      <c r="AH337" s="357">
        <f t="shared" ca="1" si="173"/>
        <v>7.9180116576969084</v>
      </c>
    </row>
    <row r="338" spans="1:34" x14ac:dyDescent="0.25">
      <c r="A338" s="402">
        <f t="shared" ca="1" si="151"/>
        <v>0.01</v>
      </c>
      <c r="B338" s="357">
        <f t="shared" ca="1" si="152"/>
        <v>3.3399999999999728</v>
      </c>
      <c r="C338" s="342"/>
      <c r="D338" s="359">
        <f t="shared" ca="1" si="153"/>
        <v>1.7159421751095463</v>
      </c>
      <c r="E338" s="360">
        <f t="shared" ca="1" si="154"/>
        <v>-2.7696750309217117</v>
      </c>
      <c r="F338" s="357">
        <f t="shared" ca="1" si="155"/>
        <v>3.2581524404531574</v>
      </c>
      <c r="G338" s="359">
        <f t="shared" ca="1" si="156"/>
        <v>41.758003689039967</v>
      </c>
      <c r="H338" s="360">
        <f t="shared" ca="1" si="157"/>
        <v>171.23046823222674</v>
      </c>
      <c r="I338" s="357">
        <f t="shared" ca="1" si="158"/>
        <v>176.24869963526393</v>
      </c>
      <c r="J338" s="359">
        <f t="shared" ca="1" si="159"/>
        <v>77.669586748402182</v>
      </c>
      <c r="K338" s="360">
        <f t="shared" ca="1" si="160"/>
        <v>345.90861385796899</v>
      </c>
      <c r="L338" s="357">
        <f t="shared" ca="1" si="145"/>
        <v>354.52127418084388</v>
      </c>
      <c r="M338" s="359">
        <f t="shared" ca="1" si="161"/>
        <v>1.331595182623277</v>
      </c>
      <c r="N338" s="357">
        <f t="shared" ca="1" si="162"/>
        <v>76.294783984265877</v>
      </c>
      <c r="O338" s="343"/>
      <c r="P338" s="363">
        <f t="shared" ca="1" si="163"/>
        <v>9</v>
      </c>
      <c r="Q338" s="357">
        <f t="shared" ca="1" si="164"/>
        <v>146.00000000001597</v>
      </c>
      <c r="R338" s="359">
        <f t="shared" ca="1" si="165"/>
        <v>7.3270597608795549E-2</v>
      </c>
      <c r="S338" s="360">
        <f t="shared" ca="1" si="166"/>
        <v>8.6608701660555205</v>
      </c>
      <c r="T338" s="357">
        <f t="shared" ca="1" si="146"/>
        <v>84.963136329004655</v>
      </c>
      <c r="U338" s="364">
        <f t="shared" ca="1" si="147"/>
        <v>0</v>
      </c>
      <c r="V338" s="359">
        <f t="shared" ca="1" si="148"/>
        <v>1.1833466081541921</v>
      </c>
      <c r="W338" s="357">
        <f t="shared" ca="1" si="149"/>
        <v>83.20385165986221</v>
      </c>
      <c r="X338" s="343"/>
      <c r="Y338" s="367" t="str">
        <f t="shared" ca="1" si="167"/>
        <v/>
      </c>
      <c r="Z338" s="368" t="str">
        <f t="shared" ca="1" si="168"/>
        <v/>
      </c>
      <c r="AA338" s="369" t="str">
        <f t="shared" ca="1" si="169"/>
        <v/>
      </c>
      <c r="AB338" s="344"/>
      <c r="AC338" s="363" t="e">
        <f t="shared" ca="1" si="170"/>
        <v>#N/A</v>
      </c>
      <c r="AD338" s="376" t="e">
        <f t="shared" ca="1" si="171"/>
        <v>#N/A</v>
      </c>
      <c r="AE338" s="377">
        <f t="shared" ca="1" si="150"/>
        <v>345.90861385796899</v>
      </c>
      <c r="AF338" s="344"/>
      <c r="AG338" s="359">
        <f t="shared" ca="1" si="172"/>
        <v>-2.2845694750910139</v>
      </c>
      <c r="AH338" s="357">
        <f t="shared" ca="1" si="173"/>
        <v>7.2464220977353291</v>
      </c>
    </row>
    <row r="339" spans="1:34" x14ac:dyDescent="0.25">
      <c r="A339" s="402">
        <f t="shared" ca="1" si="151"/>
        <v>0.01</v>
      </c>
      <c r="B339" s="357">
        <f t="shared" ca="1" si="152"/>
        <v>3.3499999999999726</v>
      </c>
      <c r="C339" s="342"/>
      <c r="D339" s="359">
        <f t="shared" ca="1" si="153"/>
        <v>1.5578935544438139</v>
      </c>
      <c r="E339" s="360">
        <f t="shared" ca="1" si="154"/>
        <v>-3.4217912922787272</v>
      </c>
      <c r="F339" s="357">
        <f t="shared" ca="1" si="155"/>
        <v>3.7597457327447161</v>
      </c>
      <c r="G339" s="359">
        <f t="shared" ca="1" si="156"/>
        <v>41.773582624584407</v>
      </c>
      <c r="H339" s="360">
        <f t="shared" ca="1" si="157"/>
        <v>171.19625031930394</v>
      </c>
      <c r="I339" s="357">
        <f t="shared" ca="1" si="158"/>
        <v>176.21914858687393</v>
      </c>
      <c r="J339" s="359">
        <f t="shared" ca="1" si="159"/>
        <v>78.087244679970297</v>
      </c>
      <c r="K339" s="360">
        <f t="shared" ca="1" si="160"/>
        <v>347.62074745072664</v>
      </c>
      <c r="L339" s="357">
        <f t="shared" ca="1" si="145"/>
        <v>356.28331681389659</v>
      </c>
      <c r="M339" s="359">
        <f t="shared" ca="1" si="161"/>
        <v>1.3314632872027421</v>
      </c>
      <c r="N339" s="357">
        <f t="shared" ca="1" si="162"/>
        <v>76.287226933332121</v>
      </c>
      <c r="O339" s="343"/>
      <c r="P339" s="363">
        <f t="shared" ca="1" si="163"/>
        <v>9</v>
      </c>
      <c r="Q339" s="357">
        <f t="shared" ca="1" si="164"/>
        <v>140.14814814816427</v>
      </c>
      <c r="R339" s="359">
        <f t="shared" ca="1" si="165"/>
        <v>7.0333825812197839E-2</v>
      </c>
      <c r="S339" s="360">
        <f t="shared" ca="1" si="166"/>
        <v>8.6601668277973989</v>
      </c>
      <c r="T339" s="357">
        <f t="shared" ca="1" si="146"/>
        <v>84.95623658069249</v>
      </c>
      <c r="U339" s="364">
        <f t="shared" ca="1" si="147"/>
        <v>0</v>
      </c>
      <c r="V339" s="359">
        <f t="shared" ca="1" si="148"/>
        <v>1.1831439598356488</v>
      </c>
      <c r="W339" s="357">
        <f t="shared" ca="1" si="149"/>
        <v>83.161709061638234</v>
      </c>
      <c r="X339" s="343"/>
      <c r="Y339" s="367" t="str">
        <f t="shared" ca="1" si="167"/>
        <v/>
      </c>
      <c r="Z339" s="368" t="str">
        <f t="shared" ca="1" si="168"/>
        <v/>
      </c>
      <c r="AA339" s="369" t="str">
        <f t="shared" ca="1" si="169"/>
        <v/>
      </c>
      <c r="AB339" s="344"/>
      <c r="AC339" s="363" t="e">
        <f t="shared" ca="1" si="170"/>
        <v>#N/A</v>
      </c>
      <c r="AD339" s="376" t="e">
        <f t="shared" ca="1" si="171"/>
        <v>#N/A</v>
      </c>
      <c r="AE339" s="377">
        <f t="shared" ca="1" si="150"/>
        <v>347.62074745072664</v>
      </c>
      <c r="AF339" s="344"/>
      <c r="AG339" s="359">
        <f t="shared" ca="1" si="172"/>
        <v>-2.9552581179556814</v>
      </c>
      <c r="AH339" s="357">
        <f t="shared" ca="1" si="173"/>
        <v>6.5754271967974436</v>
      </c>
    </row>
    <row r="340" spans="1:34" x14ac:dyDescent="0.25">
      <c r="A340" s="402">
        <f t="shared" ca="1" si="151"/>
        <v>0.01</v>
      </c>
      <c r="B340" s="357">
        <f t="shared" ca="1" si="152"/>
        <v>3.3599999999999723</v>
      </c>
      <c r="C340" s="342"/>
      <c r="D340" s="359">
        <f t="shared" ca="1" si="153"/>
        <v>1.3998158958812466</v>
      </c>
      <c r="E340" s="360">
        <f t="shared" ca="1" si="154"/>
        <v>-4.0732827386178538</v>
      </c>
      <c r="F340" s="357">
        <f t="shared" ca="1" si="155"/>
        <v>4.3071007430850727</v>
      </c>
      <c r="G340" s="359">
        <f t="shared" ca="1" si="156"/>
        <v>41.78758078354322</v>
      </c>
      <c r="H340" s="360">
        <f t="shared" ca="1" si="157"/>
        <v>171.15551749191778</v>
      </c>
      <c r="I340" s="357">
        <f t="shared" ca="1" si="158"/>
        <v>176.18289666045146</v>
      </c>
      <c r="J340" s="359">
        <f t="shared" ca="1" si="159"/>
        <v>78.505050497010942</v>
      </c>
      <c r="K340" s="360">
        <f t="shared" ca="1" si="160"/>
        <v>349.33250628978277</v>
      </c>
      <c r="L340" s="357">
        <f t="shared" ca="1" si="145"/>
        <v>358.04502915728261</v>
      </c>
      <c r="M340" s="359">
        <f t="shared" ca="1" si="161"/>
        <v>1.3313312932947894</v>
      </c>
      <c r="N340" s="357">
        <f t="shared" ca="1" si="162"/>
        <v>76.279664239484987</v>
      </c>
      <c r="O340" s="343"/>
      <c r="P340" s="363">
        <f t="shared" ca="1" si="163"/>
        <v>9</v>
      </c>
      <c r="Q340" s="357">
        <f t="shared" ca="1" si="164"/>
        <v>134.29629629631253</v>
      </c>
      <c r="R340" s="359">
        <f t="shared" ca="1" si="165"/>
        <v>6.739705401560013E-2</v>
      </c>
      <c r="S340" s="360">
        <f t="shared" ca="1" si="166"/>
        <v>8.6594928572572432</v>
      </c>
      <c r="T340" s="357">
        <f t="shared" ca="1" si="146"/>
        <v>84.949624929693556</v>
      </c>
      <c r="U340" s="364">
        <f t="shared" ca="1" si="147"/>
        <v>0</v>
      </c>
      <c r="V340" s="359">
        <f t="shared" ca="1" si="148"/>
        <v>1.1829413899622789</v>
      </c>
      <c r="W340" s="357">
        <f t="shared" ca="1" si="149"/>
        <v>83.113263885923573</v>
      </c>
      <c r="X340" s="343"/>
      <c r="Y340" s="367" t="str">
        <f t="shared" ca="1" si="167"/>
        <v/>
      </c>
      <c r="Z340" s="368" t="str">
        <f t="shared" ca="1" si="168"/>
        <v/>
      </c>
      <c r="AA340" s="369" t="str">
        <f t="shared" ca="1" si="169"/>
        <v/>
      </c>
      <c r="AB340" s="344"/>
      <c r="AC340" s="363" t="e">
        <f t="shared" ca="1" si="170"/>
        <v>#N/A</v>
      </c>
      <c r="AD340" s="376" t="e">
        <f t="shared" ca="1" si="171"/>
        <v>#N/A</v>
      </c>
      <c r="AE340" s="377">
        <f t="shared" ca="1" si="150"/>
        <v>349.33250628978277</v>
      </c>
      <c r="AF340" s="344"/>
      <c r="AG340" s="359">
        <f t="shared" ca="1" si="172"/>
        <v>-3.625346118619861</v>
      </c>
      <c r="AH340" s="357">
        <f t="shared" ca="1" si="173"/>
        <v>5.9050325553210712</v>
      </c>
    </row>
    <row r="341" spans="1:34" x14ac:dyDescent="0.25">
      <c r="A341" s="402">
        <f t="shared" ca="1" si="151"/>
        <v>0.01</v>
      </c>
      <c r="B341" s="357">
        <f t="shared" ca="1" si="152"/>
        <v>3.3699999999999721</v>
      </c>
      <c r="C341" s="342"/>
      <c r="D341" s="359">
        <f t="shared" ca="1" si="153"/>
        <v>1.241710586814363</v>
      </c>
      <c r="E341" s="360">
        <f t="shared" ca="1" si="154"/>
        <v>-4.7241440093822815</v>
      </c>
      <c r="F341" s="357">
        <f t="shared" ca="1" si="155"/>
        <v>4.8846066169947981</v>
      </c>
      <c r="G341" s="359">
        <f t="shared" ca="1" si="156"/>
        <v>41.799997889411365</v>
      </c>
      <c r="H341" s="360">
        <f t="shared" ca="1" si="157"/>
        <v>171.10827605182396</v>
      </c>
      <c r="I341" s="357">
        <f t="shared" ca="1" si="158"/>
        <v>176.13994991762087</v>
      </c>
      <c r="J341" s="359">
        <f t="shared" ca="1" si="159"/>
        <v>78.922988390375721</v>
      </c>
      <c r="K341" s="360">
        <f t="shared" ca="1" si="160"/>
        <v>351.04382525750145</v>
      </c>
      <c r="L341" s="357">
        <f t="shared" ca="1" si="145"/>
        <v>359.8063442296239</v>
      </c>
      <c r="M341" s="359">
        <f t="shared" ca="1" si="161"/>
        <v>1.3311991957872549</v>
      </c>
      <c r="N341" s="357">
        <f t="shared" ca="1" si="162"/>
        <v>76.272095609819061</v>
      </c>
      <c r="O341" s="343"/>
      <c r="P341" s="363">
        <f t="shared" ca="1" si="163"/>
        <v>9</v>
      </c>
      <c r="Q341" s="357">
        <f t="shared" ca="1" si="164"/>
        <v>128.44444444446083</v>
      </c>
      <c r="R341" s="359">
        <f t="shared" ca="1" si="165"/>
        <v>6.4460282219002421E-2</v>
      </c>
      <c r="S341" s="360">
        <f t="shared" ca="1" si="166"/>
        <v>8.6588482544350533</v>
      </c>
      <c r="T341" s="357">
        <f t="shared" ca="1" si="146"/>
        <v>84.943301376007881</v>
      </c>
      <c r="U341" s="364">
        <f t="shared" ca="1" si="147"/>
        <v>0</v>
      </c>
      <c r="V341" s="359">
        <f t="shared" ca="1" si="148"/>
        <v>1.182738906207186</v>
      </c>
      <c r="W341" s="357">
        <f t="shared" ca="1" si="149"/>
        <v>83.058529528966915</v>
      </c>
      <c r="X341" s="343"/>
      <c r="Y341" s="367" t="str">
        <f t="shared" ca="1" si="167"/>
        <v/>
      </c>
      <c r="Z341" s="368" t="str">
        <f t="shared" ca="1" si="168"/>
        <v/>
      </c>
      <c r="AA341" s="369" t="str">
        <f t="shared" ca="1" si="169"/>
        <v/>
      </c>
      <c r="AB341" s="344"/>
      <c r="AC341" s="363" t="e">
        <f t="shared" ca="1" si="170"/>
        <v>#N/A</v>
      </c>
      <c r="AD341" s="376" t="e">
        <f t="shared" ca="1" si="171"/>
        <v>#N/A</v>
      </c>
      <c r="AE341" s="377">
        <f t="shared" ca="1" si="150"/>
        <v>351.04382525750145</v>
      </c>
      <c r="AF341" s="344"/>
      <c r="AG341" s="359">
        <f t="shared" ca="1" si="172"/>
        <v>-4.2948279629786335</v>
      </c>
      <c r="AH341" s="357">
        <f t="shared" ca="1" si="173"/>
        <v>5.235243675198797</v>
      </c>
    </row>
    <row r="342" spans="1:34" x14ac:dyDescent="0.25">
      <c r="A342" s="402">
        <f t="shared" ca="1" si="151"/>
        <v>0.01</v>
      </c>
      <c r="B342" s="357">
        <f t="shared" ca="1" si="152"/>
        <v>3.3799999999999719</v>
      </c>
      <c r="C342" s="342"/>
      <c r="D342" s="359">
        <f t="shared" ca="1" si="153"/>
        <v>1.0835789812689234</v>
      </c>
      <c r="E342" s="360">
        <f t="shared" ca="1" si="154"/>
        <v>-5.3743698370165598</v>
      </c>
      <c r="F342" s="357">
        <f t="shared" ca="1" si="155"/>
        <v>5.4825171731314439</v>
      </c>
      <c r="G342" s="359">
        <f t="shared" ca="1" si="156"/>
        <v>41.810833679224054</v>
      </c>
      <c r="H342" s="360">
        <f t="shared" ca="1" si="157"/>
        <v>171.05453235345379</v>
      </c>
      <c r="I342" s="357">
        <f t="shared" ca="1" si="158"/>
        <v>176.09031447416552</v>
      </c>
      <c r="J342" s="359">
        <f t="shared" ca="1" si="159"/>
        <v>79.341042548218894</v>
      </c>
      <c r="K342" s="360">
        <f t="shared" ca="1" si="160"/>
        <v>352.75463929952787</v>
      </c>
      <c r="L342" s="357">
        <f t="shared" ca="1" si="145"/>
        <v>361.56719511036715</v>
      </c>
      <c r="M342" s="359">
        <f t="shared" ca="1" si="161"/>
        <v>1.331066989554248</v>
      </c>
      <c r="N342" s="357">
        <f t="shared" ca="1" si="162"/>
        <v>76.264520750642447</v>
      </c>
      <c r="O342" s="343"/>
      <c r="P342" s="363">
        <f t="shared" ca="1" si="163"/>
        <v>9</v>
      </c>
      <c r="Q342" s="357">
        <f t="shared" ca="1" si="164"/>
        <v>122.59259259260908</v>
      </c>
      <c r="R342" s="359">
        <f t="shared" ca="1" si="165"/>
        <v>6.1523510422404705E-2</v>
      </c>
      <c r="S342" s="360">
        <f t="shared" ca="1" si="166"/>
        <v>8.6582330193308294</v>
      </c>
      <c r="T342" s="357">
        <f t="shared" ca="1" si="146"/>
        <v>84.937265919635436</v>
      </c>
      <c r="U342" s="364">
        <f t="shared" ca="1" si="147"/>
        <v>0</v>
      </c>
      <c r="V342" s="359">
        <f t="shared" ca="1" si="148"/>
        <v>1.1825365162308277</v>
      </c>
      <c r="W342" s="357">
        <f t="shared" ca="1" si="149"/>
        <v>82.997520141549003</v>
      </c>
      <c r="X342" s="343"/>
      <c r="Y342" s="367" t="str">
        <f t="shared" ca="1" si="167"/>
        <v/>
      </c>
      <c r="Z342" s="368" t="str">
        <f t="shared" ca="1" si="168"/>
        <v/>
      </c>
      <c r="AA342" s="369" t="str">
        <f t="shared" ca="1" si="169"/>
        <v/>
      </c>
      <c r="AB342" s="344"/>
      <c r="AC342" s="363" t="e">
        <f t="shared" ca="1" si="170"/>
        <v>#N/A</v>
      </c>
      <c r="AD342" s="376" t="e">
        <f t="shared" ca="1" si="171"/>
        <v>#N/A</v>
      </c>
      <c r="AE342" s="377">
        <f t="shared" ca="1" si="150"/>
        <v>352.75463929952787</v>
      </c>
      <c r="AF342" s="344"/>
      <c r="AG342" s="359">
        <f t="shared" ca="1" si="172"/>
        <v>-4.963698235157211</v>
      </c>
      <c r="AH342" s="357">
        <f t="shared" ca="1" si="173"/>
        <v>4.5660659600378422</v>
      </c>
    </row>
    <row r="343" spans="1:34" x14ac:dyDescent="0.25">
      <c r="A343" s="402">
        <f t="shared" ca="1" si="151"/>
        <v>0.01</v>
      </c>
      <c r="B343" s="357">
        <f t="shared" ca="1" si="152"/>
        <v>3.3899999999999717</v>
      </c>
      <c r="C343" s="342"/>
      <c r="D343" s="359">
        <f t="shared" ca="1" si="153"/>
        <v>0.92542239990504238</v>
      </c>
      <c r="E343" s="360">
        <f t="shared" ca="1" si="154"/>
        <v>-6.0239550466838327</v>
      </c>
      <c r="F343" s="357">
        <f t="shared" ca="1" si="155"/>
        <v>6.0946239443228674</v>
      </c>
      <c r="G343" s="359">
        <f t="shared" ca="1" si="156"/>
        <v>41.820087903223104</v>
      </c>
      <c r="H343" s="360">
        <f t="shared" ca="1" si="157"/>
        <v>170.99429280298696</v>
      </c>
      <c r="I343" s="357">
        <f t="shared" ca="1" si="158"/>
        <v>176.0339964990483</v>
      </c>
      <c r="J343" s="359">
        <f t="shared" ca="1" si="159"/>
        <v>79.759197156131137</v>
      </c>
      <c r="K343" s="360">
        <f t="shared" ca="1" si="160"/>
        <v>354.46488342531006</v>
      </c>
      <c r="L343" s="357">
        <f t="shared" ca="1" si="145"/>
        <v>363.32751494032107</v>
      </c>
      <c r="M343" s="359">
        <f t="shared" ca="1" si="161"/>
        <v>1.3309346694550186</v>
      </c>
      <c r="N343" s="357">
        <f t="shared" ca="1" si="162"/>
        <v>76.256939367411846</v>
      </c>
      <c r="O343" s="343"/>
      <c r="P343" s="363">
        <f t="shared" ca="1" si="163"/>
        <v>9</v>
      </c>
      <c r="Q343" s="357">
        <f t="shared" ca="1" si="164"/>
        <v>116.74074074075736</v>
      </c>
      <c r="R343" s="359">
        <f t="shared" ca="1" si="165"/>
        <v>5.8586738625806996E-2</v>
      </c>
      <c r="S343" s="360">
        <f t="shared" ca="1" si="166"/>
        <v>8.6576471519445715</v>
      </c>
      <c r="T343" s="357">
        <f t="shared" ca="1" si="146"/>
        <v>84.931518560576251</v>
      </c>
      <c r="U343" s="364">
        <f t="shared" ca="1" si="147"/>
        <v>0</v>
      </c>
      <c r="V343" s="359">
        <f t="shared" ca="1" si="148"/>
        <v>1.1823342276809654</v>
      </c>
      <c r="W343" s="357">
        <f t="shared" ca="1" si="149"/>
        <v>82.930250624749803</v>
      </c>
      <c r="X343" s="343"/>
      <c r="Y343" s="367" t="str">
        <f t="shared" ca="1" si="167"/>
        <v/>
      </c>
      <c r="Z343" s="368" t="str">
        <f t="shared" ca="1" si="168"/>
        <v/>
      </c>
      <c r="AA343" s="369" t="str">
        <f t="shared" ca="1" si="169"/>
        <v/>
      </c>
      <c r="AB343" s="344"/>
      <c r="AC343" s="363" t="e">
        <f t="shared" ca="1" si="170"/>
        <v>#N/A</v>
      </c>
      <c r="AD343" s="376" t="e">
        <f t="shared" ca="1" si="171"/>
        <v>#N/A</v>
      </c>
      <c r="AE343" s="377">
        <f t="shared" ca="1" si="150"/>
        <v>354.46488342531006</v>
      </c>
      <c r="AF343" s="344"/>
      <c r="AG343" s="359">
        <f t="shared" ca="1" si="172"/>
        <v>-5.6319516172411141</v>
      </c>
      <c r="AH343" s="357">
        <f t="shared" ca="1" si="173"/>
        <v>3.8975047154271447</v>
      </c>
    </row>
    <row r="344" spans="1:34" x14ac:dyDescent="0.25">
      <c r="A344" s="402">
        <f t="shared" ca="1" si="151"/>
        <v>0.01</v>
      </c>
      <c r="B344" s="357">
        <f t="shared" ca="1" si="152"/>
        <v>3.3999999999999715</v>
      </c>
      <c r="C344" s="342"/>
      <c r="D344" s="359">
        <f t="shared" ca="1" si="153"/>
        <v>0.76724213001628627</v>
      </c>
      <c r="E344" s="360">
        <f t="shared" ca="1" si="154"/>
        <v>-6.6728945559753106</v>
      </c>
      <c r="F344" s="357">
        <f t="shared" ca="1" si="155"/>
        <v>6.716858063204616</v>
      </c>
      <c r="G344" s="359">
        <f t="shared" ca="1" si="156"/>
        <v>41.827760324523268</v>
      </c>
      <c r="H344" s="360">
        <f t="shared" ca="1" si="157"/>
        <v>170.9275638574272</v>
      </c>
      <c r="I344" s="357">
        <f t="shared" ca="1" si="158"/>
        <v>175.97100221343462</v>
      </c>
      <c r="J344" s="359">
        <f t="shared" ca="1" si="159"/>
        <v>80.177436397269872</v>
      </c>
      <c r="K344" s="360">
        <f t="shared" ca="1" si="160"/>
        <v>356.17449270861215</v>
      </c>
      <c r="L344" s="357">
        <f t="shared" ca="1" si="145"/>
        <v>365.08723692218479</v>
      </c>
      <c r="M344" s="359">
        <f t="shared" ca="1" si="161"/>
        <v>1.3308022303328129</v>
      </c>
      <c r="N344" s="357">
        <f t="shared" ca="1" si="162"/>
        <v>76.249351164667047</v>
      </c>
      <c r="O344" s="343"/>
      <c r="P344" s="363">
        <f t="shared" ca="1" si="163"/>
        <v>9</v>
      </c>
      <c r="Q344" s="357">
        <f t="shared" ca="1" si="164"/>
        <v>110.88888888890563</v>
      </c>
      <c r="R344" s="359">
        <f t="shared" ca="1" si="165"/>
        <v>5.564996682920928E-2</v>
      </c>
      <c r="S344" s="360">
        <f t="shared" ca="1" si="166"/>
        <v>8.6570906522762794</v>
      </c>
      <c r="T344" s="357">
        <f t="shared" ca="1" si="146"/>
        <v>84.92605929883031</v>
      </c>
      <c r="U344" s="364">
        <f t="shared" ca="1" si="147"/>
        <v>0</v>
      </c>
      <c r="V344" s="359">
        <f t="shared" ca="1" si="148"/>
        <v>1.1821320481926179</v>
      </c>
      <c r="W344" s="357">
        <f t="shared" ca="1" si="149"/>
        <v>82.856736625699881</v>
      </c>
      <c r="X344" s="343"/>
      <c r="Y344" s="367" t="str">
        <f t="shared" ca="1" si="167"/>
        <v/>
      </c>
      <c r="Z344" s="368" t="str">
        <f t="shared" ca="1" si="168"/>
        <v/>
      </c>
      <c r="AA344" s="369" t="str">
        <f t="shared" ca="1" si="169"/>
        <v/>
      </c>
      <c r="AB344" s="344"/>
      <c r="AC344" s="363" t="e">
        <f t="shared" ca="1" si="170"/>
        <v>#N/A</v>
      </c>
      <c r="AD344" s="376" t="e">
        <f t="shared" ca="1" si="171"/>
        <v>#N/A</v>
      </c>
      <c r="AE344" s="377">
        <f t="shared" ca="1" si="150"/>
        <v>356.17449270861215</v>
      </c>
      <c r="AF344" s="344"/>
      <c r="AG344" s="359">
        <f t="shared" ca="1" si="172"/>
        <v>-6.2995828889992751</v>
      </c>
      <c r="AH344" s="357">
        <f t="shared" ca="1" si="173"/>
        <v>3.2295651492114654</v>
      </c>
    </row>
    <row r="345" spans="1:34" x14ac:dyDescent="0.25">
      <c r="A345" s="402">
        <f t="shared" ca="1" si="151"/>
        <v>0.01</v>
      </c>
      <c r="B345" s="357">
        <f t="shared" ca="1" si="152"/>
        <v>3.4099999999999713</v>
      </c>
      <c r="C345" s="342"/>
      <c r="D345" s="359">
        <f t="shared" ca="1" si="153"/>
        <v>0.60903942552676438</v>
      </c>
      <c r="E345" s="360">
        <f t="shared" ca="1" si="154"/>
        <v>-7.3211833746120298</v>
      </c>
      <c r="F345" s="357">
        <f t="shared" ca="1" si="155"/>
        <v>7.3464722844737915</v>
      </c>
      <c r="G345" s="359">
        <f t="shared" ca="1" si="156"/>
        <v>41.833850718778535</v>
      </c>
      <c r="H345" s="360">
        <f t="shared" ca="1" si="157"/>
        <v>170.85435202368109</v>
      </c>
      <c r="I345" s="357">
        <f t="shared" ca="1" si="158"/>
        <v>175.90133788971869</v>
      </c>
      <c r="J345" s="359">
        <f t="shared" ca="1" si="159"/>
        <v>80.595744452486386</v>
      </c>
      <c r="K345" s="360">
        <f t="shared" ca="1" si="160"/>
        <v>357.88340228801769</v>
      </c>
      <c r="L345" s="357">
        <f t="shared" ca="1" si="145"/>
        <v>366.84629432106522</v>
      </c>
      <c r="M345" s="359">
        <f t="shared" ca="1" si="161"/>
        <v>1.3306696670137255</v>
      </c>
      <c r="N345" s="357">
        <f t="shared" ca="1" si="162"/>
        <v>76.241755845965088</v>
      </c>
      <c r="O345" s="343"/>
      <c r="P345" s="363">
        <f t="shared" ca="1" si="163"/>
        <v>9</v>
      </c>
      <c r="Q345" s="357">
        <f t="shared" ca="1" si="164"/>
        <v>105.03703703705391</v>
      </c>
      <c r="R345" s="359">
        <f t="shared" ca="1" si="165"/>
        <v>5.2713195032611571E-2</v>
      </c>
      <c r="S345" s="360">
        <f t="shared" ca="1" si="166"/>
        <v>8.6565635203259532</v>
      </c>
      <c r="T345" s="357">
        <f t="shared" ca="1" si="146"/>
        <v>84.9208881343976</v>
      </c>
      <c r="U345" s="364">
        <f t="shared" ca="1" si="147"/>
        <v>0</v>
      </c>
      <c r="V345" s="359">
        <f t="shared" ca="1" si="148"/>
        <v>1.1819299853880145</v>
      </c>
      <c r="W345" s="357">
        <f t="shared" ca="1" si="149"/>
        <v>82.776994533317321</v>
      </c>
      <c r="X345" s="343"/>
      <c r="Y345" s="367" t="str">
        <f t="shared" ca="1" si="167"/>
        <v/>
      </c>
      <c r="Z345" s="368" t="str">
        <f t="shared" ca="1" si="168"/>
        <v/>
      </c>
      <c r="AA345" s="369" t="str">
        <f t="shared" ca="1" si="169"/>
        <v/>
      </c>
      <c r="AB345" s="344"/>
      <c r="AC345" s="363" t="e">
        <f t="shared" ca="1" si="170"/>
        <v>#N/A</v>
      </c>
      <c r="AD345" s="376" t="e">
        <f t="shared" ca="1" si="171"/>
        <v>#N/A</v>
      </c>
      <c r="AE345" s="377">
        <f t="shared" ca="1" si="150"/>
        <v>357.88340228801769</v>
      </c>
      <c r="AF345" s="344"/>
      <c r="AG345" s="359">
        <f t="shared" ca="1" si="172"/>
        <v>-6.9665869276001633</v>
      </c>
      <c r="AH345" s="357">
        <f t="shared" ca="1" si="173"/>
        <v>2.5622523717724479</v>
      </c>
    </row>
    <row r="346" spans="1:34" x14ac:dyDescent="0.25">
      <c r="A346" s="402">
        <f t="shared" ca="1" si="151"/>
        <v>0.01</v>
      </c>
      <c r="B346" s="357">
        <f t="shared" ca="1" si="152"/>
        <v>3.4199999999999711</v>
      </c>
      <c r="C346" s="342"/>
      <c r="D346" s="359">
        <f t="shared" ca="1" si="153"/>
        <v>0.45081550698609874</v>
      </c>
      <c r="E346" s="360">
        <f t="shared" ca="1" si="154"/>
        <v>-7.9688166041391346</v>
      </c>
      <c r="F346" s="357">
        <f t="shared" ca="1" si="155"/>
        <v>7.9815582871856989</v>
      </c>
      <c r="G346" s="359">
        <f t="shared" ca="1" si="156"/>
        <v>41.838358873848399</v>
      </c>
      <c r="H346" s="360">
        <f t="shared" ca="1" si="157"/>
        <v>170.77466385763969</v>
      </c>
      <c r="I346" s="357">
        <f t="shared" ca="1" si="158"/>
        <v>175.82500985055214</v>
      </c>
      <c r="J346" s="359">
        <f t="shared" ca="1" si="159"/>
        <v>81.014105500449517</v>
      </c>
      <c r="K346" s="360">
        <f t="shared" ca="1" si="160"/>
        <v>359.59154736742431</v>
      </c>
      <c r="L346" s="357">
        <f t="shared" ca="1" si="145"/>
        <v>368.60462046498623</v>
      </c>
      <c r="M346" s="359">
        <f t="shared" ca="1" si="161"/>
        <v>1.330536974305542</v>
      </c>
      <c r="N346" s="357">
        <f t="shared" ca="1" si="162"/>
        <v>76.234153113814017</v>
      </c>
      <c r="O346" s="343"/>
      <c r="P346" s="363">
        <f t="shared" ca="1" si="163"/>
        <v>9</v>
      </c>
      <c r="Q346" s="357">
        <f t="shared" ca="1" si="164"/>
        <v>99.185185185202172</v>
      </c>
      <c r="R346" s="359">
        <f t="shared" ca="1" si="165"/>
        <v>4.9776423236013854E-2</v>
      </c>
      <c r="S346" s="360">
        <f t="shared" ca="1" si="166"/>
        <v>8.656065756093593</v>
      </c>
      <c r="T346" s="357">
        <f t="shared" ca="1" si="146"/>
        <v>84.916005067278149</v>
      </c>
      <c r="U346" s="364">
        <f t="shared" ca="1" si="147"/>
        <v>0</v>
      </c>
      <c r="V346" s="359">
        <f t="shared" ca="1" si="148"/>
        <v>1.1817280468765541</v>
      </c>
      <c r="W346" s="357">
        <f t="shared" ca="1" si="149"/>
        <v>82.691041474030584</v>
      </c>
      <c r="X346" s="343"/>
      <c r="Y346" s="367" t="str">
        <f t="shared" ca="1" si="167"/>
        <v/>
      </c>
      <c r="Z346" s="368" t="str">
        <f t="shared" ca="1" si="168"/>
        <v/>
      </c>
      <c r="AA346" s="369" t="str">
        <f t="shared" ca="1" si="169"/>
        <v/>
      </c>
      <c r="AB346" s="344"/>
      <c r="AC346" s="363" t="e">
        <f t="shared" ca="1" si="170"/>
        <v>#N/A</v>
      </c>
      <c r="AD346" s="376" t="e">
        <f t="shared" ca="1" si="171"/>
        <v>#N/A</v>
      </c>
      <c r="AE346" s="377">
        <f t="shared" ca="1" si="150"/>
        <v>359.59154736742431</v>
      </c>
      <c r="AF346" s="344"/>
      <c r="AG346" s="359">
        <f t="shared" ca="1" si="172"/>
        <v>-7.632958707321194</v>
      </c>
      <c r="AH346" s="357">
        <f t="shared" ca="1" si="173"/>
        <v>1.8955713963163936</v>
      </c>
    </row>
    <row r="347" spans="1:34" x14ac:dyDescent="0.25">
      <c r="A347" s="402">
        <f t="shared" ca="1" si="151"/>
        <v>0.01</v>
      </c>
      <c r="B347" s="357">
        <f t="shared" ca="1" si="152"/>
        <v>3.4299999999999708</v>
      </c>
      <c r="C347" s="342"/>
      <c r="D347" s="359">
        <f t="shared" ca="1" si="153"/>
        <v>0.29257156156227077</v>
      </c>
      <c r="E347" s="360">
        <f t="shared" ca="1" si="154"/>
        <v>-8.6157894376126691</v>
      </c>
      <c r="F347" s="357">
        <f t="shared" ca="1" si="155"/>
        <v>8.62075552094554</v>
      </c>
      <c r="G347" s="359">
        <f t="shared" ca="1" si="156"/>
        <v>41.841284589464024</v>
      </c>
      <c r="H347" s="360">
        <f t="shared" ca="1" si="157"/>
        <v>170.68850596326357</v>
      </c>
      <c r="I347" s="357">
        <f t="shared" ca="1" si="158"/>
        <v>175.74202446787615</v>
      </c>
      <c r="J347" s="359">
        <f t="shared" ca="1" si="159"/>
        <v>81.432503717766082</v>
      </c>
      <c r="K347" s="360">
        <f t="shared" ca="1" si="160"/>
        <v>361.29886321652884</v>
      </c>
      <c r="L347" s="357">
        <f t="shared" ca="1" si="145"/>
        <v>370.36214874538678</v>
      </c>
      <c r="M347" s="359">
        <f t="shared" ca="1" si="161"/>
        <v>1.3304041469965728</v>
      </c>
      <c r="N347" s="357">
        <f t="shared" ca="1" si="162"/>
        <v>76.226542669606005</v>
      </c>
      <c r="O347" s="343"/>
      <c r="P347" s="363">
        <f t="shared" ca="1" si="163"/>
        <v>9</v>
      </c>
      <c r="Q347" s="357">
        <f t="shared" ca="1" si="164"/>
        <v>93.333333333350453</v>
      </c>
      <c r="R347" s="359">
        <f t="shared" ca="1" si="165"/>
        <v>4.6839651439416145E-2</v>
      </c>
      <c r="S347" s="360">
        <f t="shared" ca="1" si="166"/>
        <v>8.6555973595791986</v>
      </c>
      <c r="T347" s="357">
        <f t="shared" ca="1" si="146"/>
        <v>84.911410097471943</v>
      </c>
      <c r="U347" s="364">
        <f t="shared" ca="1" si="147"/>
        <v>0</v>
      </c>
      <c r="V347" s="359">
        <f t="shared" ca="1" si="148"/>
        <v>1.1815262402547604</v>
      </c>
      <c r="W347" s="357">
        <f t="shared" ca="1" si="149"/>
        <v>82.598895307489045</v>
      </c>
      <c r="X347" s="343"/>
      <c r="Y347" s="367" t="str">
        <f t="shared" ca="1" si="167"/>
        <v/>
      </c>
      <c r="Z347" s="368" t="str">
        <f t="shared" ca="1" si="168"/>
        <v/>
      </c>
      <c r="AA347" s="369" t="str">
        <f t="shared" ca="1" si="169"/>
        <v/>
      </c>
      <c r="AB347" s="344"/>
      <c r="AC347" s="363" t="e">
        <f t="shared" ca="1" si="170"/>
        <v>#N/A</v>
      </c>
      <c r="AD347" s="376" t="e">
        <f t="shared" ca="1" si="171"/>
        <v>#N/A</v>
      </c>
      <c r="AE347" s="377">
        <f t="shared" ca="1" si="150"/>
        <v>361.29886321652884</v>
      </c>
      <c r="AF347" s="344"/>
      <c r="AG347" s="359">
        <f t="shared" ca="1" si="172"/>
        <v>-8.2986932992513616</v>
      </c>
      <c r="AH347" s="357">
        <f t="shared" ca="1" si="173"/>
        <v>1.229527139168735</v>
      </c>
    </row>
    <row r="348" spans="1:34" x14ac:dyDescent="0.25">
      <c r="A348" s="402">
        <f t="shared" ca="1" si="151"/>
        <v>0.01</v>
      </c>
      <c r="B348" s="357">
        <f t="shared" ca="1" si="152"/>
        <v>3.4399999999999706</v>
      </c>
      <c r="C348" s="342"/>
      <c r="D348" s="359">
        <f t="shared" ca="1" si="153"/>
        <v>0.13430874303224336</v>
      </c>
      <c r="E348" s="360">
        <f t="shared" ca="1" si="154"/>
        <v>-9.2620971592791346</v>
      </c>
      <c r="F348" s="357">
        <f t="shared" ca="1" si="155"/>
        <v>9.2630709069067105</v>
      </c>
      <c r="G348" s="359">
        <f t="shared" ca="1" si="156"/>
        <v>41.842627676894345</v>
      </c>
      <c r="H348" s="360">
        <f t="shared" ca="1" si="157"/>
        <v>170.59588499167077</v>
      </c>
      <c r="I348" s="357">
        <f t="shared" ca="1" si="158"/>
        <v>175.65238816195631</v>
      </c>
      <c r="J348" s="359">
        <f t="shared" ca="1" si="159"/>
        <v>81.85092327909787</v>
      </c>
      <c r="K348" s="360">
        <f t="shared" ca="1" si="160"/>
        <v>363.00528517130351</v>
      </c>
      <c r="L348" s="357">
        <f t="shared" ca="1" si="145"/>
        <v>372.11881261761033</v>
      </c>
      <c r="M348" s="359">
        <f t="shared" ca="1" si="161"/>
        <v>1.3302711798544791</v>
      </c>
      <c r="N348" s="357">
        <f t="shared" ca="1" si="162"/>
        <v>76.21892421355011</v>
      </c>
      <c r="O348" s="343"/>
      <c r="P348" s="363">
        <f t="shared" ca="1" si="163"/>
        <v>9</v>
      </c>
      <c r="Q348" s="357">
        <f t="shared" ca="1" si="164"/>
        <v>87.481481481498719</v>
      </c>
      <c r="R348" s="359">
        <f t="shared" ca="1" si="165"/>
        <v>4.3902879642818429E-2</v>
      </c>
      <c r="S348" s="360">
        <f t="shared" ca="1" si="166"/>
        <v>8.6551583307827702</v>
      </c>
      <c r="T348" s="357">
        <f t="shared" ca="1" si="146"/>
        <v>84.907103224978982</v>
      </c>
      <c r="U348" s="364">
        <f t="shared" ca="1" si="147"/>
        <v>0</v>
      </c>
      <c r="V348" s="359">
        <f t="shared" ca="1" si="148"/>
        <v>1.1813245731062425</v>
      </c>
      <c r="W348" s="357">
        <f t="shared" ca="1" si="149"/>
        <v>82.500574622261865</v>
      </c>
      <c r="X348" s="343"/>
      <c r="Y348" s="367" t="str">
        <f t="shared" ca="1" si="167"/>
        <v/>
      </c>
      <c r="Z348" s="368" t="str">
        <f t="shared" ca="1" si="168"/>
        <v/>
      </c>
      <c r="AA348" s="369" t="str">
        <f t="shared" ca="1" si="169"/>
        <v/>
      </c>
      <c r="AB348" s="344"/>
      <c r="AC348" s="363" t="e">
        <f t="shared" ca="1" si="170"/>
        <v>#N/A</v>
      </c>
      <c r="AD348" s="376" t="e">
        <f t="shared" ca="1" si="171"/>
        <v>#N/A</v>
      </c>
      <c r="AE348" s="377">
        <f t="shared" ca="1" si="150"/>
        <v>363.00528517130351</v>
      </c>
      <c r="AF348" s="344"/>
      <c r="AG348" s="359">
        <f t="shared" ca="1" si="172"/>
        <v>-8.9637858709874436</v>
      </c>
      <c r="AH348" s="357">
        <f t="shared" ca="1" si="173"/>
        <v>0.56412442007494668</v>
      </c>
    </row>
    <row r="349" spans="1:34" x14ac:dyDescent="0.25">
      <c r="A349" s="402">
        <f t="shared" ca="1" si="151"/>
        <v>0.01</v>
      </c>
      <c r="B349" s="357">
        <f t="shared" ca="1" si="152"/>
        <v>3.4499999999999704</v>
      </c>
      <c r="C349" s="342"/>
      <c r="D349" s="359">
        <f t="shared" ca="1" si="153"/>
        <v>-2.3971828229680612E-2</v>
      </c>
      <c r="E349" s="360">
        <f t="shared" ca="1" si="154"/>
        <v>-9.9077351442478587</v>
      </c>
      <c r="F349" s="357">
        <f t="shared" ca="1" si="155"/>
        <v>9.9077641442008915</v>
      </c>
      <c r="G349" s="359">
        <f t="shared" ca="1" si="156"/>
        <v>41.842387958612051</v>
      </c>
      <c r="H349" s="360">
        <f t="shared" ca="1" si="157"/>
        <v>170.4968076402283</v>
      </c>
      <c r="I349" s="357">
        <f t="shared" ca="1" si="158"/>
        <v>175.55610740042059</v>
      </c>
      <c r="J349" s="359">
        <f t="shared" ca="1" si="159"/>
        <v>82.269348357275405</v>
      </c>
      <c r="K349" s="360">
        <f t="shared" ca="1" si="160"/>
        <v>364.71074863446302</v>
      </c>
      <c r="L349" s="357">
        <f t="shared" ca="1" si="145"/>
        <v>373.87454560138377</v>
      </c>
      <c r="M349" s="359">
        <f t="shared" ca="1" si="161"/>
        <v>1.3301380676250862</v>
      </c>
      <c r="N349" s="357">
        <f t="shared" ca="1" si="162"/>
        <v>76.211297444604327</v>
      </c>
      <c r="O349" s="343"/>
      <c r="P349" s="363">
        <f t="shared" ca="1" si="163"/>
        <v>9</v>
      </c>
      <c r="Q349" s="357">
        <f t="shared" ca="1" si="164"/>
        <v>81.629629629646985</v>
      </c>
      <c r="R349" s="359">
        <f t="shared" ca="1" si="165"/>
        <v>4.0966107846220713E-2</v>
      </c>
      <c r="S349" s="360">
        <f t="shared" ca="1" si="166"/>
        <v>8.6547486697043077</v>
      </c>
      <c r="T349" s="357">
        <f t="shared" ca="1" si="146"/>
        <v>84.903084449799266</v>
      </c>
      <c r="U349" s="364">
        <f t="shared" ca="1" si="147"/>
        <v>0</v>
      </c>
      <c r="V349" s="359">
        <f t="shared" ca="1" si="148"/>
        <v>1.1811230530016565</v>
      </c>
      <c r="W349" s="357">
        <f t="shared" ca="1" si="149"/>
        <v>82.396098731525896</v>
      </c>
      <c r="X349" s="343"/>
      <c r="Y349" s="367" t="str">
        <f t="shared" ca="1" si="167"/>
        <v/>
      </c>
      <c r="Z349" s="368" t="str">
        <f t="shared" ca="1" si="168"/>
        <v/>
      </c>
      <c r="AA349" s="369" t="str">
        <f t="shared" ca="1" si="169"/>
        <v/>
      </c>
      <c r="AB349" s="344"/>
      <c r="AC349" s="363" t="e">
        <f t="shared" ca="1" si="170"/>
        <v>#N/A</v>
      </c>
      <c r="AD349" s="376" t="e">
        <f t="shared" ca="1" si="171"/>
        <v>#N/A</v>
      </c>
      <c r="AE349" s="377">
        <f t="shared" ca="1" si="150"/>
        <v>364.71074863446302</v>
      </c>
      <c r="AF349" s="344"/>
      <c r="AG349" s="359">
        <f t="shared" ca="1" si="172"/>
        <v>-9.6282316863237796</v>
      </c>
      <c r="AH349" s="357">
        <f t="shared" ca="1" si="173"/>
        <v>-0.1006320374921571</v>
      </c>
    </row>
    <row r="350" spans="1:34" x14ac:dyDescent="0.25">
      <c r="A350" s="402">
        <f t="shared" ca="1" si="151"/>
        <v>0.01</v>
      </c>
      <c r="B350" s="357">
        <f t="shared" ca="1" si="152"/>
        <v>3.4599999999999702</v>
      </c>
      <c r="C350" s="342"/>
      <c r="D350" s="359">
        <f t="shared" ca="1" si="153"/>
        <v>-0.18226906526582792</v>
      </c>
      <c r="E350" s="360">
        <f t="shared" ca="1" si="154"/>
        <v>-10.552698858156253</v>
      </c>
      <c r="F350" s="357">
        <f t="shared" ca="1" si="155"/>
        <v>10.554272841038607</v>
      </c>
      <c r="G350" s="359">
        <f t="shared" ca="1" si="156"/>
        <v>41.840565267959391</v>
      </c>
      <c r="H350" s="360">
        <f t="shared" ca="1" si="157"/>
        <v>170.39128065164672</v>
      </c>
      <c r="I350" s="357">
        <f t="shared" ca="1" si="158"/>
        <v>175.4531886973007</v>
      </c>
      <c r="J350" s="359">
        <f t="shared" ca="1" si="159"/>
        <v>82.68776312340826</v>
      </c>
      <c r="K350" s="360">
        <f t="shared" ca="1" si="160"/>
        <v>366.4151890759224</v>
      </c>
      <c r="L350" s="357">
        <f t="shared" ca="1" si="145"/>
        <v>375.62928128128777</v>
      </c>
      <c r="M350" s="359">
        <f t="shared" ca="1" si="161"/>
        <v>1.3300048050311912</v>
      </c>
      <c r="N350" s="357">
        <f t="shared" ca="1" si="162"/>
        <v>76.203662060407169</v>
      </c>
      <c r="O350" s="343"/>
      <c r="P350" s="363">
        <f t="shared" ca="1" si="163"/>
        <v>9</v>
      </c>
      <c r="Q350" s="357">
        <f t="shared" ca="1" si="164"/>
        <v>75.777777777795279</v>
      </c>
      <c r="R350" s="359">
        <f t="shared" ca="1" si="165"/>
        <v>3.8029336049623011E-2</v>
      </c>
      <c r="S350" s="360">
        <f t="shared" ca="1" si="166"/>
        <v>8.6543683763438111</v>
      </c>
      <c r="T350" s="357">
        <f t="shared" ca="1" si="146"/>
        <v>84.899353771932795</v>
      </c>
      <c r="U350" s="364">
        <f t="shared" ca="1" si="147"/>
        <v>0</v>
      </c>
      <c r="V350" s="359">
        <f t="shared" ca="1" si="148"/>
        <v>1.1809216874986654</v>
      </c>
      <c r="W350" s="357">
        <f t="shared" ca="1" si="149"/>
        <v>82.28548766874448</v>
      </c>
      <c r="X350" s="343"/>
      <c r="Y350" s="367" t="str">
        <f t="shared" ca="1" si="167"/>
        <v/>
      </c>
      <c r="Z350" s="368" t="str">
        <f t="shared" ca="1" si="168"/>
        <v/>
      </c>
      <c r="AA350" s="369" t="str">
        <f t="shared" ca="1" si="169"/>
        <v/>
      </c>
      <c r="AB350" s="344"/>
      <c r="AC350" s="363" t="e">
        <f t="shared" ca="1" si="170"/>
        <v>#N/A</v>
      </c>
      <c r="AD350" s="376" t="e">
        <f t="shared" ca="1" si="171"/>
        <v>#N/A</v>
      </c>
      <c r="AE350" s="377">
        <f t="shared" ca="1" si="150"/>
        <v>366.4151890759224</v>
      </c>
      <c r="AF350" s="344"/>
      <c r="AG350" s="359">
        <f t="shared" ca="1" si="172"/>
        <v>-10.292026104935731</v>
      </c>
      <c r="AH350" s="357">
        <f t="shared" ca="1" si="173"/>
        <v>-0.76473760601887419</v>
      </c>
    </row>
    <row r="351" spans="1:34" x14ac:dyDescent="0.25">
      <c r="A351" s="402">
        <f t="shared" ca="1" si="151"/>
        <v>0.01</v>
      </c>
      <c r="B351" s="357">
        <f t="shared" ca="1" si="152"/>
        <v>3.46999999999997</v>
      </c>
      <c r="C351" s="342"/>
      <c r="D351" s="359">
        <f t="shared" ca="1" si="153"/>
        <v>-0.34058191455154446</v>
      </c>
      <c r="E351" s="360">
        <f t="shared" ca="1" si="154"/>
        <v>-11.196983856828226</v>
      </c>
      <c r="F351" s="357">
        <f t="shared" ca="1" si="155"/>
        <v>11.202162448857429</v>
      </c>
      <c r="G351" s="359">
        <f t="shared" ca="1" si="156"/>
        <v>41.837159448813878</v>
      </c>
      <c r="H351" s="360">
        <f t="shared" ca="1" si="157"/>
        <v>170.27931081307844</v>
      </c>
      <c r="I351" s="357">
        <f t="shared" ca="1" si="158"/>
        <v>175.3436386120764</v>
      </c>
      <c r="J351" s="359">
        <f t="shared" ca="1" si="159"/>
        <v>83.106151746992126</v>
      </c>
      <c r="K351" s="360">
        <f t="shared" ca="1" si="160"/>
        <v>368.118542033246</v>
      </c>
      <c r="L351" s="357">
        <f t="shared" ca="1" si="145"/>
        <v>377.38295330721655</v>
      </c>
      <c r="M351" s="359">
        <f t="shared" ca="1" si="161"/>
        <v>1.329871386771353</v>
      </c>
      <c r="N351" s="357">
        <f t="shared" ca="1" si="162"/>
        <v>76.196017757208466</v>
      </c>
      <c r="O351" s="343"/>
      <c r="P351" s="363">
        <f t="shared" ca="1" si="163"/>
        <v>9</v>
      </c>
      <c r="Q351" s="357">
        <f t="shared" ca="1" si="164"/>
        <v>69.925925925943545</v>
      </c>
      <c r="R351" s="359">
        <f t="shared" ca="1" si="165"/>
        <v>3.5092564253025295E-2</v>
      </c>
      <c r="S351" s="360">
        <f t="shared" ca="1" si="166"/>
        <v>8.6540174507012804</v>
      </c>
      <c r="T351" s="357">
        <f t="shared" ca="1" si="146"/>
        <v>84.895911191379568</v>
      </c>
      <c r="U351" s="364">
        <f t="shared" ca="1" si="147"/>
        <v>0</v>
      </c>
      <c r="V351" s="359">
        <f t="shared" ca="1" si="148"/>
        <v>1.1807204841419081</v>
      </c>
      <c r="W351" s="357">
        <f t="shared" ca="1" si="149"/>
        <v>82.168762183337421</v>
      </c>
      <c r="X351" s="343"/>
      <c r="Y351" s="367" t="str">
        <f t="shared" ca="1" si="167"/>
        <v/>
      </c>
      <c r="Z351" s="368" t="str">
        <f t="shared" ca="1" si="168"/>
        <v/>
      </c>
      <c r="AA351" s="369" t="str">
        <f t="shared" ca="1" si="169"/>
        <v/>
      </c>
      <c r="AB351" s="344"/>
      <c r="AC351" s="363" t="e">
        <f t="shared" ca="1" si="170"/>
        <v>#N/A</v>
      </c>
      <c r="AD351" s="376" t="e">
        <f t="shared" ca="1" si="171"/>
        <v>#N/A</v>
      </c>
      <c r="AE351" s="377">
        <f t="shared" ca="1" si="150"/>
        <v>368.118542033246</v>
      </c>
      <c r="AF351" s="344"/>
      <c r="AG351" s="359">
        <f t="shared" ca="1" si="172"/>
        <v>-10.955164582057138</v>
      </c>
      <c r="AH351" s="357">
        <f t="shared" ca="1" si="173"/>
        <v>-1.4281877536310461</v>
      </c>
    </row>
    <row r="352" spans="1:34" x14ac:dyDescent="0.25">
      <c r="A352" s="402">
        <f t="shared" ca="1" si="151"/>
        <v>0.01</v>
      </c>
      <c r="B352" s="357">
        <f t="shared" ca="1" si="152"/>
        <v>3.4799999999999698</v>
      </c>
      <c r="C352" s="342"/>
      <c r="D352" s="359">
        <f t="shared" ca="1" si="153"/>
        <v>-0.49520757886881228</v>
      </c>
      <c r="E352" s="360">
        <f t="shared" ca="1" si="154"/>
        <v>-11.825519369625493</v>
      </c>
      <c r="F352" s="357">
        <f t="shared" ca="1" si="155"/>
        <v>11.83588352881004</v>
      </c>
      <c r="G352" s="359">
        <f t="shared" ca="1" si="156"/>
        <v>41.832207373025192</v>
      </c>
      <c r="H352" s="360">
        <f t="shared" ca="1" si="157"/>
        <v>170.16105561938218</v>
      </c>
      <c r="I352" s="357">
        <f t="shared" ca="1" si="158"/>
        <v>175.22761889383267</v>
      </c>
      <c r="J352" s="359">
        <f t="shared" ca="1" si="159"/>
        <v>83.524498581101327</v>
      </c>
      <c r="K352" s="360">
        <f t="shared" ca="1" si="160"/>
        <v>369.8207438654083</v>
      </c>
      <c r="L352" s="357">
        <f t="shared" ca="1" si="145"/>
        <v>379.13549617041707</v>
      </c>
      <c r="M352" s="359">
        <f t="shared" ca="1" si="161"/>
        <v>1.3297378076369464</v>
      </c>
      <c r="N352" s="357">
        <f t="shared" ca="1" si="162"/>
        <v>76.18836423657595</v>
      </c>
      <c r="O352" s="343"/>
      <c r="P352" s="363">
        <f t="shared" ca="1" si="163"/>
        <v>10</v>
      </c>
      <c r="Q352" s="357">
        <f t="shared" ca="1" si="164"/>
        <v>64.20833333335024</v>
      </c>
      <c r="R352" s="359">
        <f t="shared" ca="1" si="165"/>
        <v>3.2223170923279483E-2</v>
      </c>
      <c r="S352" s="360">
        <f t="shared" ca="1" si="166"/>
        <v>8.6536952189920484</v>
      </c>
      <c r="T352" s="357">
        <f t="shared" ca="1" si="146"/>
        <v>84.892750098311993</v>
      </c>
      <c r="U352" s="364">
        <f t="shared" ca="1" si="147"/>
        <v>0</v>
      </c>
      <c r="V352" s="359">
        <f t="shared" ca="1" si="148"/>
        <v>1.1805194503739989</v>
      </c>
      <c r="W352" s="357">
        <f t="shared" ca="1" si="149"/>
        <v>82.046089015976492</v>
      </c>
      <c r="X352" s="343"/>
      <c r="Y352" s="367" t="str">
        <f t="shared" ca="1" si="167"/>
        <v/>
      </c>
      <c r="Z352" s="368" t="str">
        <f t="shared" ca="1" si="168"/>
        <v/>
      </c>
      <c r="AA352" s="369" t="str">
        <f t="shared" ca="1" si="169"/>
        <v/>
      </c>
      <c r="AB352" s="344"/>
      <c r="AC352" s="363" t="e">
        <f t="shared" ca="1" si="170"/>
        <v>#N/A</v>
      </c>
      <c r="AD352" s="376" t="e">
        <f t="shared" ca="1" si="171"/>
        <v>#N/A</v>
      </c>
      <c r="AE352" s="377">
        <f t="shared" ca="1" si="150"/>
        <v>369.8207438654083</v>
      </c>
      <c r="AF352" s="344"/>
      <c r="AG352" s="359">
        <f t="shared" ca="1" si="172"/>
        <v>-11.602128157068037</v>
      </c>
      <c r="AH352" s="357">
        <f t="shared" ca="1" si="173"/>
        <v>-2.0754635326848438</v>
      </c>
    </row>
    <row r="353" spans="1:34" x14ac:dyDescent="0.25">
      <c r="A353" s="402">
        <f t="shared" ca="1" si="151"/>
        <v>0.01</v>
      </c>
      <c r="B353" s="357">
        <f t="shared" ca="1" si="152"/>
        <v>3.4899999999999696</v>
      </c>
      <c r="C353" s="342"/>
      <c r="D353" s="359">
        <f t="shared" ca="1" si="153"/>
        <v>-0.64614275202798555</v>
      </c>
      <c r="E353" s="360">
        <f t="shared" ca="1" si="154"/>
        <v>-12.438317740574051</v>
      </c>
      <c r="F353" s="357">
        <f t="shared" ca="1" si="155"/>
        <v>12.455089267904807</v>
      </c>
      <c r="G353" s="359">
        <f t="shared" ca="1" si="156"/>
        <v>41.825745945504913</v>
      </c>
      <c r="H353" s="360">
        <f t="shared" ca="1" si="157"/>
        <v>170.03667244197644</v>
      </c>
      <c r="I353" s="357">
        <f t="shared" ca="1" si="158"/>
        <v>175.10529117944412</v>
      </c>
      <c r="J353" s="359">
        <f t="shared" ca="1" si="159"/>
        <v>83.942788347693977</v>
      </c>
      <c r="K353" s="360">
        <f t="shared" ca="1" si="160"/>
        <v>371.52173250571508</v>
      </c>
      <c r="L353" s="357">
        <f t="shared" ca="1" si="145"/>
        <v>380.88684597874192</v>
      </c>
      <c r="M353" s="359">
        <f t="shared" ca="1" si="161"/>
        <v>1.3296040625117951</v>
      </c>
      <c r="N353" s="357">
        <f t="shared" ca="1" si="162"/>
        <v>76.180701205374334</v>
      </c>
      <c r="O353" s="343"/>
      <c r="P353" s="363">
        <f t="shared" ca="1" si="163"/>
        <v>10</v>
      </c>
      <c r="Q353" s="357">
        <f t="shared" ca="1" si="164"/>
        <v>58.625000000017017</v>
      </c>
      <c r="R353" s="359">
        <f t="shared" ca="1" si="165"/>
        <v>2.9421156060386408E-2</v>
      </c>
      <c r="S353" s="360">
        <f t="shared" ca="1" si="166"/>
        <v>8.6534010074314445</v>
      </c>
      <c r="T353" s="357">
        <f t="shared" ca="1" si="146"/>
        <v>84.889863882902475</v>
      </c>
      <c r="U353" s="364">
        <f t="shared" ca="1" si="147"/>
        <v>0</v>
      </c>
      <c r="V353" s="359">
        <f t="shared" ca="1" si="148"/>
        <v>1.1803185934467231</v>
      </c>
      <c r="W353" s="357">
        <f t="shared" ca="1" si="149"/>
        <v>81.917634951294644</v>
      </c>
      <c r="X353" s="343"/>
      <c r="Y353" s="367" t="str">
        <f t="shared" ca="1" si="167"/>
        <v/>
      </c>
      <c r="Z353" s="368" t="str">
        <f t="shared" ca="1" si="168"/>
        <v/>
      </c>
      <c r="AA353" s="369" t="str">
        <f t="shared" ca="1" si="169"/>
        <v/>
      </c>
      <c r="AB353" s="344"/>
      <c r="AC353" s="363" t="e">
        <f t="shared" ca="1" si="170"/>
        <v>#N/A</v>
      </c>
      <c r="AD353" s="376" t="e">
        <f t="shared" ca="1" si="171"/>
        <v>#N/A</v>
      </c>
      <c r="AE353" s="377">
        <f t="shared" ca="1" si="150"/>
        <v>371.52173250571508</v>
      </c>
      <c r="AF353" s="344"/>
      <c r="AG353" s="359">
        <f t="shared" ca="1" si="172"/>
        <v>-12.232928050911418</v>
      </c>
      <c r="AH353" s="357">
        <f t="shared" ca="1" si="173"/>
        <v>-2.7065761769095995</v>
      </c>
    </row>
    <row r="354" spans="1:34" x14ac:dyDescent="0.25">
      <c r="A354" s="402">
        <f t="shared" ca="1" si="151"/>
        <v>0.01</v>
      </c>
      <c r="B354" s="357">
        <f t="shared" ca="1" si="152"/>
        <v>3.4999999999999694</v>
      </c>
      <c r="C354" s="342"/>
      <c r="D354" s="359">
        <f t="shared" ca="1" si="153"/>
        <v>-0.79709027741758343</v>
      </c>
      <c r="E354" s="360">
        <f t="shared" ca="1" si="154"/>
        <v>-13.050458127979997</v>
      </c>
      <c r="F354" s="357">
        <f t="shared" ca="1" si="155"/>
        <v>13.074777637134515</v>
      </c>
      <c r="G354" s="359">
        <f t="shared" ca="1" si="156"/>
        <v>41.817775042730737</v>
      </c>
      <c r="H354" s="360">
        <f t="shared" ca="1" si="157"/>
        <v>169.90616786069663</v>
      </c>
      <c r="I354" s="357">
        <f t="shared" ca="1" si="158"/>
        <v>174.97666183417621</v>
      </c>
      <c r="J354" s="359">
        <f t="shared" ca="1" si="159"/>
        <v>84.361005952635153</v>
      </c>
      <c r="K354" s="360">
        <f t="shared" ca="1" si="160"/>
        <v>373.22144670722844</v>
      </c>
      <c r="L354" s="357">
        <f t="shared" ca="1" si="145"/>
        <v>382.63693967987086</v>
      </c>
      <c r="M354" s="359">
        <f t="shared" ca="1" si="161"/>
        <v>1.3294701462531364</v>
      </c>
      <c r="N354" s="357">
        <f t="shared" ca="1" si="162"/>
        <v>76.173028368945012</v>
      </c>
      <c r="O354" s="343"/>
      <c r="P354" s="363">
        <f t="shared" ca="1" si="163"/>
        <v>10</v>
      </c>
      <c r="Q354" s="357">
        <f t="shared" ca="1" si="164"/>
        <v>53.041666666683788</v>
      </c>
      <c r="R354" s="359">
        <f t="shared" ca="1" si="165"/>
        <v>2.661914119749333E-2</v>
      </c>
      <c r="S354" s="360">
        <f t="shared" ca="1" si="166"/>
        <v>8.6531348160194703</v>
      </c>
      <c r="T354" s="357">
        <f t="shared" ca="1" si="146"/>
        <v>84.887252545151014</v>
      </c>
      <c r="U354" s="364">
        <f t="shared" ca="1" si="147"/>
        <v>0</v>
      </c>
      <c r="V354" s="359">
        <f t="shared" ca="1" si="148"/>
        <v>1.1801179205102834</v>
      </c>
      <c r="W354" s="357">
        <f t="shared" ca="1" si="149"/>
        <v>81.783421727180894</v>
      </c>
      <c r="X354" s="343"/>
      <c r="Y354" s="367" t="str">
        <f t="shared" ca="1" si="167"/>
        <v/>
      </c>
      <c r="Z354" s="368" t="str">
        <f t="shared" ca="1" si="168"/>
        <v/>
      </c>
      <c r="AA354" s="369" t="str">
        <f t="shared" ca="1" si="169"/>
        <v>Satellite</v>
      </c>
      <c r="AB354" s="344"/>
      <c r="AC354" s="363" t="e">
        <f t="shared" ca="1" si="170"/>
        <v>#N/A</v>
      </c>
      <c r="AD354" s="376" t="e">
        <f t="shared" ca="1" si="171"/>
        <v>#N/A</v>
      </c>
      <c r="AE354" s="377">
        <f t="shared" ca="1" si="150"/>
        <v>373.22144670722844</v>
      </c>
      <c r="AF354" s="344"/>
      <c r="AG354" s="359">
        <f t="shared" ca="1" si="172"/>
        <v>-12.863091424551859</v>
      </c>
      <c r="AH354" s="357">
        <f t="shared" ca="1" si="173"/>
        <v>-3.3370528598668123</v>
      </c>
    </row>
    <row r="355" spans="1:34" x14ac:dyDescent="0.25">
      <c r="A355" s="402">
        <f t="shared" ca="1" si="151"/>
        <v>0.01</v>
      </c>
      <c r="B355" s="357">
        <f t="shared" ca="1" si="152"/>
        <v>3.5099999999999691</v>
      </c>
      <c r="C355" s="342"/>
      <c r="D355" s="359">
        <f t="shared" ca="1" si="153"/>
        <v>-0.94804934637507865</v>
      </c>
      <c r="E355" s="360">
        <f t="shared" ca="1" si="154"/>
        <v>-13.661936914884443</v>
      </c>
      <c r="F355" s="357">
        <f t="shared" ca="1" si="155"/>
        <v>13.694791631472327</v>
      </c>
      <c r="G355" s="359">
        <f t="shared" ca="1" si="156"/>
        <v>41.808294549266989</v>
      </c>
      <c r="H355" s="360">
        <f t="shared" ca="1" si="157"/>
        <v>169.76954849154779</v>
      </c>
      <c r="I355" s="357">
        <f t="shared" ca="1" si="158"/>
        <v>174.84173726013555</v>
      </c>
      <c r="J355" s="359">
        <f t="shared" ca="1" si="159"/>
        <v>84.779136300595141</v>
      </c>
      <c r="K355" s="360">
        <f t="shared" ca="1" si="160"/>
        <v>374.91982528898967</v>
      </c>
      <c r="L355" s="357">
        <f t="shared" ca="1" si="145"/>
        <v>384.38571428527553</v>
      </c>
      <c r="M355" s="359">
        <f t="shared" ca="1" si="161"/>
        <v>1.3293360536904719</v>
      </c>
      <c r="N355" s="357">
        <f t="shared" ca="1" si="162"/>
        <v>76.165345431040237</v>
      </c>
      <c r="O355" s="343"/>
      <c r="P355" s="363">
        <f t="shared" ca="1" si="163"/>
        <v>10</v>
      </c>
      <c r="Q355" s="357">
        <f t="shared" ca="1" si="164"/>
        <v>47.458333333350552</v>
      </c>
      <c r="R355" s="359">
        <f t="shared" ca="1" si="165"/>
        <v>2.3817126334600251E-2</v>
      </c>
      <c r="S355" s="360">
        <f t="shared" ca="1" si="166"/>
        <v>8.6528966447561242</v>
      </c>
      <c r="T355" s="357">
        <f t="shared" ca="1" si="146"/>
        <v>84.884916085057583</v>
      </c>
      <c r="U355" s="364">
        <f t="shared" ca="1" si="147"/>
        <v>0</v>
      </c>
      <c r="V355" s="359">
        <f t="shared" ca="1" si="148"/>
        <v>1.1799174387023632</v>
      </c>
      <c r="W355" s="357">
        <f t="shared" ca="1" si="149"/>
        <v>81.643471713593229</v>
      </c>
      <c r="X355" s="343"/>
      <c r="Y355" s="367" t="str">
        <f t="shared" ca="1" si="167"/>
        <v/>
      </c>
      <c r="Z355" s="368" t="str">
        <f t="shared" ca="1" si="168"/>
        <v/>
      </c>
      <c r="AA355" s="369" t="str">
        <f t="shared" ca="1" si="169"/>
        <v/>
      </c>
      <c r="AB355" s="344"/>
      <c r="AC355" s="363" t="e">
        <f t="shared" ca="1" si="170"/>
        <v>#N/A</v>
      </c>
      <c r="AD355" s="376" t="e">
        <f t="shared" ca="1" si="171"/>
        <v>#N/A</v>
      </c>
      <c r="AE355" s="377">
        <f t="shared" ca="1" si="150"/>
        <v>374.91982528898967</v>
      </c>
      <c r="AF355" s="344"/>
      <c r="AG355" s="359">
        <f t="shared" ca="1" si="172"/>
        <v>-13.492614593917224</v>
      </c>
      <c r="AH355" s="357">
        <f t="shared" ca="1" si="173"/>
        <v>-3.966889910170396</v>
      </c>
    </row>
    <row r="356" spans="1:34" x14ac:dyDescent="0.25">
      <c r="A356" s="402">
        <f t="shared" ca="1" si="151"/>
        <v>0.01</v>
      </c>
      <c r="B356" s="357">
        <f t="shared" ca="1" si="152"/>
        <v>3.5199999999999689</v>
      </c>
      <c r="C356" s="342"/>
      <c r="D356" s="359">
        <f t="shared" ca="1" si="153"/>
        <v>-1.0990191807070044</v>
      </c>
      <c r="E356" s="360">
        <f t="shared" ca="1" si="154"/>
        <v>-14.272750564300409</v>
      </c>
      <c r="F356" s="357">
        <f t="shared" ca="1" si="155"/>
        <v>14.315000937139319</v>
      </c>
      <c r="G356" s="359">
        <f t="shared" ca="1" si="156"/>
        <v>41.797304357459922</v>
      </c>
      <c r="H356" s="360">
        <f t="shared" ca="1" si="157"/>
        <v>169.6268209859048</v>
      </c>
      <c r="I356" s="357">
        <f t="shared" ca="1" si="158"/>
        <v>174.70052389542033</v>
      </c>
      <c r="J356" s="359">
        <f t="shared" ca="1" si="159"/>
        <v>85.197164295128772</v>
      </c>
      <c r="K356" s="360">
        <f t="shared" ca="1" si="160"/>
        <v>376.61680713637691</v>
      </c>
      <c r="L356" s="357">
        <f t="shared" ca="1" si="145"/>
        <v>386.1331068705843</v>
      </c>
      <c r="M356" s="359">
        <f t="shared" ca="1" si="161"/>
        <v>1.3292017796244036</v>
      </c>
      <c r="N356" s="357">
        <f t="shared" ca="1" si="162"/>
        <v>76.157652093756468</v>
      </c>
      <c r="O356" s="343"/>
      <c r="P356" s="363">
        <f t="shared" ca="1" si="163"/>
        <v>10</v>
      </c>
      <c r="Q356" s="357">
        <f t="shared" ca="1" si="164"/>
        <v>41.875000000017323</v>
      </c>
      <c r="R356" s="359">
        <f t="shared" ca="1" si="165"/>
        <v>2.1015111471707173E-2</v>
      </c>
      <c r="S356" s="360">
        <f t="shared" ca="1" si="166"/>
        <v>8.6526864936414078</v>
      </c>
      <c r="T356" s="357">
        <f t="shared" ca="1" si="146"/>
        <v>84.882854502622209</v>
      </c>
      <c r="U356" s="364">
        <f t="shared" ca="1" si="147"/>
        <v>0</v>
      </c>
      <c r="V356" s="359">
        <f t="shared" ca="1" si="148"/>
        <v>1.1797171551481027</v>
      </c>
      <c r="W356" s="357">
        <f t="shared" ca="1" si="149"/>
        <v>81.497807908614092</v>
      </c>
      <c r="X356" s="343"/>
      <c r="Y356" s="367" t="str">
        <f t="shared" ca="1" si="167"/>
        <v/>
      </c>
      <c r="Z356" s="368" t="str">
        <f t="shared" ca="1" si="168"/>
        <v/>
      </c>
      <c r="AA356" s="369" t="str">
        <f t="shared" ca="1" si="169"/>
        <v/>
      </c>
      <c r="AB356" s="344"/>
      <c r="AC356" s="363" t="e">
        <f t="shared" ca="1" si="170"/>
        <v>#N/A</v>
      </c>
      <c r="AD356" s="376" t="e">
        <f t="shared" ca="1" si="171"/>
        <v>#N/A</v>
      </c>
      <c r="AE356" s="377">
        <f t="shared" ca="1" si="150"/>
        <v>376.61680713637691</v>
      </c>
      <c r="AF356" s="344"/>
      <c r="AG356" s="359">
        <f t="shared" ca="1" si="172"/>
        <v>-14.121493959892167</v>
      </c>
      <c r="AH356" s="357">
        <f t="shared" ca="1" si="173"/>
        <v>-4.5960837414831248</v>
      </c>
    </row>
    <row r="357" spans="1:34" x14ac:dyDescent="0.25">
      <c r="A357" s="402">
        <f t="shared" ca="1" si="151"/>
        <v>0.01</v>
      </c>
      <c r="B357" s="357">
        <f t="shared" ca="1" si="152"/>
        <v>3.5299999999999687</v>
      </c>
      <c r="C357" s="342"/>
      <c r="D357" s="359">
        <f t="shared" ca="1" si="153"/>
        <v>-1.2499990327162782</v>
      </c>
      <c r="E357" s="360">
        <f t="shared" ca="1" si="154"/>
        <v>-14.882895618860044</v>
      </c>
      <c r="F357" s="357">
        <f t="shared" ca="1" si="155"/>
        <v>14.935296434409166</v>
      </c>
      <c r="G357" s="359">
        <f t="shared" ca="1" si="156"/>
        <v>41.784804367132757</v>
      </c>
      <c r="H357" s="360">
        <f t="shared" ca="1" si="157"/>
        <v>169.47799202971621</v>
      </c>
      <c r="I357" s="357">
        <f t="shared" ca="1" si="158"/>
        <v>174.55302821327422</v>
      </c>
      <c r="J357" s="359">
        <f t="shared" ca="1" si="159"/>
        <v>85.615074838751738</v>
      </c>
      <c r="K357" s="360">
        <f t="shared" ca="1" si="160"/>
        <v>378.31233120145504</v>
      </c>
      <c r="L357" s="357">
        <f t="shared" ca="1" si="145"/>
        <v>387.87905457593922</v>
      </c>
      <c r="M357" s="359">
        <f t="shared" ca="1" si="161"/>
        <v>1.3290673188254576</v>
      </c>
      <c r="N357" s="357">
        <f t="shared" ca="1" si="162"/>
        <v>76.149948057466901</v>
      </c>
      <c r="O357" s="343"/>
      <c r="P357" s="363">
        <f t="shared" ca="1" si="163"/>
        <v>10</v>
      </c>
      <c r="Q357" s="357">
        <f t="shared" ca="1" si="164"/>
        <v>36.291666666684094</v>
      </c>
      <c r="R357" s="359">
        <f t="shared" ca="1" si="165"/>
        <v>1.8213096608814094E-2</v>
      </c>
      <c r="S357" s="360">
        <f t="shared" ca="1" si="166"/>
        <v>8.6525043626753195</v>
      </c>
      <c r="T357" s="357">
        <f t="shared" ca="1" si="146"/>
        <v>84.881067797844892</v>
      </c>
      <c r="U357" s="364">
        <f t="shared" ca="1" si="147"/>
        <v>0</v>
      </c>
      <c r="V357" s="359">
        <f t="shared" ca="1" si="148"/>
        <v>1.1795170769600765</v>
      </c>
      <c r="W357" s="357">
        <f t="shared" ca="1" si="149"/>
        <v>81.346453934504666</v>
      </c>
      <c r="X357" s="343"/>
      <c r="Y357" s="367" t="str">
        <f t="shared" ca="1" si="167"/>
        <v/>
      </c>
      <c r="Z357" s="368" t="str">
        <f t="shared" ca="1" si="168"/>
        <v/>
      </c>
      <c r="AA357" s="369" t="str">
        <f t="shared" ca="1" si="169"/>
        <v/>
      </c>
      <c r="AB357" s="344"/>
      <c r="AC357" s="363" t="e">
        <f t="shared" ca="1" si="170"/>
        <v>#N/A</v>
      </c>
      <c r="AD357" s="376" t="e">
        <f t="shared" ca="1" si="171"/>
        <v>#N/A</v>
      </c>
      <c r="AE357" s="377">
        <f t="shared" ca="1" si="150"/>
        <v>378.31233120145504</v>
      </c>
      <c r="AF357" s="344"/>
      <c r="AG357" s="359">
        <f t="shared" ca="1" si="172"/>
        <v>-14.749726007987094</v>
      </c>
      <c r="AH357" s="357">
        <f t="shared" ca="1" si="173"/>
        <v>-5.2246308521886071</v>
      </c>
    </row>
    <row r="358" spans="1:34" x14ac:dyDescent="0.25">
      <c r="A358" s="402">
        <f t="shared" ca="1" si="151"/>
        <v>0.01</v>
      </c>
      <c r="B358" s="357">
        <f t="shared" ca="1" si="152"/>
        <v>3.5399999999999685</v>
      </c>
      <c r="C358" s="342"/>
      <c r="D358" s="359">
        <f t="shared" ca="1" si="153"/>
        <v>-1.4009881852321331</v>
      </c>
      <c r="E358" s="360">
        <f t="shared" ca="1" si="154"/>
        <v>-15.492368700456616</v>
      </c>
      <c r="F358" s="357">
        <f t="shared" ca="1" si="155"/>
        <v>15.555586001370949</v>
      </c>
      <c r="G358" s="359">
        <f t="shared" ca="1" si="156"/>
        <v>41.770794485280433</v>
      </c>
      <c r="H358" s="360">
        <f t="shared" ca="1" si="157"/>
        <v>169.32306834271165</v>
      </c>
      <c r="I358" s="357">
        <f t="shared" ca="1" si="158"/>
        <v>174.39925672124332</v>
      </c>
      <c r="J358" s="359">
        <f t="shared" ca="1" si="159"/>
        <v>86.032852833013806</v>
      </c>
      <c r="K358" s="360">
        <f t="shared" ca="1" si="160"/>
        <v>380.00633650331719</v>
      </c>
      <c r="L358" s="357">
        <f t="shared" ca="1" si="145"/>
        <v>389.62349460634346</v>
      </c>
      <c r="M358" s="359">
        <f t="shared" ca="1" si="161"/>
        <v>1.3289326660328906</v>
      </c>
      <c r="N358" s="357">
        <f t="shared" ca="1" si="162"/>
        <v>76.142233020753167</v>
      </c>
      <c r="O358" s="343"/>
      <c r="P358" s="363">
        <f t="shared" ca="1" si="163"/>
        <v>10</v>
      </c>
      <c r="Q358" s="357">
        <f t="shared" ca="1" si="164"/>
        <v>30.708333333350872</v>
      </c>
      <c r="R358" s="359">
        <f t="shared" ca="1" si="165"/>
        <v>1.5411081745921019E-2</v>
      </c>
      <c r="S358" s="360">
        <f t="shared" ca="1" si="166"/>
        <v>8.652350251857861</v>
      </c>
      <c r="T358" s="357">
        <f t="shared" ca="1" si="146"/>
        <v>84.879555970725619</v>
      </c>
      <c r="U358" s="364">
        <f t="shared" ca="1" si="147"/>
        <v>0</v>
      </c>
      <c r="V358" s="359">
        <f t="shared" ca="1" si="148"/>
        <v>1.1793172112382737</v>
      </c>
      <c r="W358" s="357">
        <f t="shared" ca="1" si="149"/>
        <v>81.189434033758928</v>
      </c>
      <c r="X358" s="343"/>
      <c r="Y358" s="367" t="str">
        <f t="shared" ca="1" si="167"/>
        <v/>
      </c>
      <c r="Z358" s="368" t="str">
        <f t="shared" ca="1" si="168"/>
        <v/>
      </c>
      <c r="AA358" s="369" t="str">
        <f t="shared" ca="1" si="169"/>
        <v/>
      </c>
      <c r="AB358" s="344"/>
      <c r="AC358" s="363" t="e">
        <f t="shared" ca="1" si="170"/>
        <v>#N/A</v>
      </c>
      <c r="AD358" s="376" t="e">
        <f t="shared" ca="1" si="171"/>
        <v>#N/A</v>
      </c>
      <c r="AE358" s="377">
        <f t="shared" ca="1" si="150"/>
        <v>380.00633650331719</v>
      </c>
      <c r="AF358" s="344"/>
      <c r="AG358" s="359">
        <f t="shared" ca="1" si="172"/>
        <v>-15.377307308002798</v>
      </c>
      <c r="AH358" s="357">
        <f t="shared" ca="1" si="173"/>
        <v>-5.8525278250589325</v>
      </c>
    </row>
    <row r="359" spans="1:34" x14ac:dyDescent="0.25">
      <c r="A359" s="402">
        <f t="shared" ca="1" si="151"/>
        <v>0.01</v>
      </c>
      <c r="B359" s="357">
        <f t="shared" ca="1" si="152"/>
        <v>3.5499999999999683</v>
      </c>
      <c r="C359" s="342"/>
      <c r="D359" s="359">
        <f t="shared" ca="1" si="153"/>
        <v>-1.5519859516427772</v>
      </c>
      <c r="E359" s="360">
        <f t="shared" ca="1" si="154"/>
        <v>-16.10116650988148</v>
      </c>
      <c r="F359" s="357">
        <f t="shared" ca="1" si="155"/>
        <v>16.175791275020384</v>
      </c>
      <c r="G359" s="359">
        <f t="shared" ca="1" si="156"/>
        <v>41.755274625764002</v>
      </c>
      <c r="H359" s="360">
        <f t="shared" ca="1" si="157"/>
        <v>169.16205667761284</v>
      </c>
      <c r="I359" s="357">
        <f t="shared" ca="1" si="158"/>
        <v>174.23921596033674</v>
      </c>
      <c r="J359" s="359">
        <f t="shared" ca="1" si="159"/>
        <v>86.45048317856903</v>
      </c>
      <c r="K359" s="360">
        <f t="shared" ca="1" si="160"/>
        <v>381.69876212841882</v>
      </c>
      <c r="L359" s="357">
        <f t="shared" ca="1" si="145"/>
        <v>391.36636423200105</v>
      </c>
      <c r="M359" s="359">
        <f t="shared" ca="1" si="161"/>
        <v>1.3287978159534843</v>
      </c>
      <c r="N359" s="357">
        <f t="shared" ca="1" si="162"/>
        <v>76.134506680336187</v>
      </c>
      <c r="O359" s="343"/>
      <c r="P359" s="363">
        <f t="shared" ca="1" si="163"/>
        <v>10</v>
      </c>
      <c r="Q359" s="357">
        <f t="shared" ca="1" si="164"/>
        <v>25.125000000017643</v>
      </c>
      <c r="R359" s="359">
        <f t="shared" ca="1" si="165"/>
        <v>1.2609066883027941E-2</v>
      </c>
      <c r="S359" s="360">
        <f t="shared" ca="1" si="166"/>
        <v>8.6522241611890305</v>
      </c>
      <c r="T359" s="357">
        <f t="shared" ca="1" si="146"/>
        <v>84.878319021264389</v>
      </c>
      <c r="U359" s="364">
        <f t="shared" ca="1" si="147"/>
        <v>0</v>
      </c>
      <c r="V359" s="359">
        <f t="shared" ca="1" si="148"/>
        <v>1.179117565070078</v>
      </c>
      <c r="W359" s="357">
        <f t="shared" ca="1" si="149"/>
        <v>81.026773065157784</v>
      </c>
      <c r="X359" s="343"/>
      <c r="Y359" s="367" t="str">
        <f t="shared" ca="1" si="167"/>
        <v/>
      </c>
      <c r="Z359" s="368" t="str">
        <f t="shared" ca="1" si="168"/>
        <v/>
      </c>
      <c r="AA359" s="369" t="str">
        <f t="shared" ca="1" si="169"/>
        <v/>
      </c>
      <c r="AB359" s="344"/>
      <c r="AC359" s="363" t="e">
        <f t="shared" ca="1" si="170"/>
        <v>#N/A</v>
      </c>
      <c r="AD359" s="376" t="e">
        <f t="shared" ca="1" si="171"/>
        <v>#N/A</v>
      </c>
      <c r="AE359" s="377">
        <f t="shared" ca="1" si="150"/>
        <v>381.69876212841882</v>
      </c>
      <c r="AF359" s="344"/>
      <c r="AG359" s="359">
        <f t="shared" ca="1" si="172"/>
        <v>-16.004234513690857</v>
      </c>
      <c r="AH359" s="357">
        <f t="shared" ca="1" si="173"/>
        <v>-6.4797713269181694</v>
      </c>
    </row>
    <row r="360" spans="1:34" x14ac:dyDescent="0.25">
      <c r="A360" s="402">
        <f t="shared" ca="1" si="151"/>
        <v>0.01</v>
      </c>
      <c r="B360" s="357">
        <f t="shared" ca="1" si="152"/>
        <v>3.5599999999999681</v>
      </c>
      <c r="C360" s="342"/>
      <c r="D360" s="359">
        <f t="shared" ca="1" si="153"/>
        <v>-1.7029916759308048</v>
      </c>
      <c r="E360" s="360">
        <f t="shared" ca="1" si="154"/>
        <v>-16.709285826455961</v>
      </c>
      <c r="F360" s="357">
        <f t="shared" ca="1" si="155"/>
        <v>16.795845125461586</v>
      </c>
      <c r="G360" s="359">
        <f t="shared" ca="1" si="156"/>
        <v>41.738244709004697</v>
      </c>
      <c r="H360" s="360">
        <f t="shared" ca="1" si="157"/>
        <v>168.99496381934827</v>
      </c>
      <c r="I360" s="357">
        <f t="shared" ca="1" si="158"/>
        <v>174.07291250419058</v>
      </c>
      <c r="J360" s="359">
        <f t="shared" ca="1" si="159"/>
        <v>86.867950775242875</v>
      </c>
      <c r="K360" s="360">
        <f t="shared" ca="1" si="160"/>
        <v>383.38954723090364</v>
      </c>
      <c r="L360" s="357">
        <f t="shared" ca="1" si="145"/>
        <v>393.10760078864837</v>
      </c>
      <c r="M360" s="359">
        <f t="shared" ca="1" si="161"/>
        <v>1.3286627632603194</v>
      </c>
      <c r="N360" s="357">
        <f t="shared" ca="1" si="162"/>
        <v>76.126768731005953</v>
      </c>
      <c r="O360" s="343"/>
      <c r="P360" s="363">
        <f t="shared" ca="1" si="163"/>
        <v>10</v>
      </c>
      <c r="Q360" s="357">
        <f t="shared" ca="1" si="164"/>
        <v>19.541666666684407</v>
      </c>
      <c r="R360" s="359">
        <f t="shared" ca="1" si="165"/>
        <v>9.8070520201348592E-3</v>
      </c>
      <c r="S360" s="360">
        <f t="shared" ca="1" si="166"/>
        <v>8.6521260906688298</v>
      </c>
      <c r="T360" s="357">
        <f t="shared" ca="1" si="146"/>
        <v>84.87735694946123</v>
      </c>
      <c r="U360" s="364">
        <f t="shared" ca="1" si="147"/>
        <v>0</v>
      </c>
      <c r="V360" s="359">
        <f t="shared" ca="1" si="148"/>
        <v>1.1789181455302502</v>
      </c>
      <c r="W360" s="357">
        <f t="shared" ca="1" si="149"/>
        <v>80.858496499824696</v>
      </c>
      <c r="X360" s="343"/>
      <c r="Y360" s="367" t="str">
        <f t="shared" ca="1" si="167"/>
        <v/>
      </c>
      <c r="Z360" s="368" t="str">
        <f t="shared" ca="1" si="168"/>
        <v/>
      </c>
      <c r="AA360" s="369" t="str">
        <f t="shared" ca="1" si="169"/>
        <v/>
      </c>
      <c r="AB360" s="344"/>
      <c r="AC360" s="363" t="e">
        <f t="shared" ca="1" si="170"/>
        <v>#N/A</v>
      </c>
      <c r="AD360" s="376" t="e">
        <f t="shared" ca="1" si="171"/>
        <v>#N/A</v>
      </c>
      <c r="AE360" s="377">
        <f t="shared" ca="1" si="150"/>
        <v>383.38954723090364</v>
      </c>
      <c r="AF360" s="344"/>
      <c r="AG360" s="359">
        <f t="shared" ca="1" si="172"/>
        <v>-16.63050436240988</v>
      </c>
      <c r="AH360" s="357">
        <f t="shared" ca="1" si="173"/>
        <v>-7.1063581083017286</v>
      </c>
    </row>
    <row r="361" spans="1:34" x14ac:dyDescent="0.25">
      <c r="A361" s="402">
        <f t="shared" ca="1" si="151"/>
        <v>0.01</v>
      </c>
      <c r="B361" s="357">
        <f t="shared" ca="1" si="152"/>
        <v>3.5699999999999679</v>
      </c>
      <c r="C361" s="342"/>
      <c r="D361" s="359">
        <f t="shared" ca="1" si="153"/>
        <v>-1.8540047327115239</v>
      </c>
      <c r="E361" s="360">
        <f t="shared" ca="1" si="154"/>
        <v>-17.316723507658402</v>
      </c>
      <c r="F361" s="357">
        <f t="shared" ca="1" si="155"/>
        <v>17.415689667354716</v>
      </c>
      <c r="G361" s="359">
        <f t="shared" ca="1" si="156"/>
        <v>41.719704661677582</v>
      </c>
      <c r="H361" s="360">
        <f t="shared" ca="1" si="157"/>
        <v>168.82179658427168</v>
      </c>
      <c r="I361" s="357">
        <f t="shared" ca="1" si="158"/>
        <v>173.90035295823526</v>
      </c>
      <c r="J361" s="359">
        <f t="shared" ca="1" si="159"/>
        <v>87.285240522096288</v>
      </c>
      <c r="K361" s="360">
        <f t="shared" ca="1" si="160"/>
        <v>385.07863103292175</v>
      </c>
      <c r="L361" s="357">
        <f t="shared" ca="1" si="145"/>
        <v>394.84714167787678</v>
      </c>
      <c r="M361" s="359">
        <f t="shared" ca="1" si="161"/>
        <v>1.3285275025915373</v>
      </c>
      <c r="N361" s="357">
        <f t="shared" ca="1" si="162"/>
        <v>76.119018865550629</v>
      </c>
      <c r="O361" s="343"/>
      <c r="P361" s="363">
        <f t="shared" ca="1" si="163"/>
        <v>10</v>
      </c>
      <c r="Q361" s="357">
        <f t="shared" ca="1" si="164"/>
        <v>13.958333333351177</v>
      </c>
      <c r="R361" s="359">
        <f t="shared" ca="1" si="165"/>
        <v>7.0050371572417808E-3</v>
      </c>
      <c r="S361" s="360">
        <f t="shared" ca="1" si="166"/>
        <v>8.6520560402972571</v>
      </c>
      <c r="T361" s="357">
        <f t="shared" ca="1" si="146"/>
        <v>84.876669755316101</v>
      </c>
      <c r="U361" s="364">
        <f t="shared" ca="1" si="147"/>
        <v>0</v>
      </c>
      <c r="V361" s="359">
        <f t="shared" ca="1" si="148"/>
        <v>1.17871895968091</v>
      </c>
      <c r="W361" s="357">
        <f t="shared" ca="1" si="149"/>
        <v>80.68463041728296</v>
      </c>
      <c r="X361" s="343"/>
      <c r="Y361" s="367" t="str">
        <f t="shared" ca="1" si="167"/>
        <v/>
      </c>
      <c r="Z361" s="368" t="str">
        <f t="shared" ca="1" si="168"/>
        <v/>
      </c>
      <c r="AA361" s="369" t="str">
        <f t="shared" ca="1" si="169"/>
        <v/>
      </c>
      <c r="AB361" s="344"/>
      <c r="AC361" s="363" t="e">
        <f t="shared" ca="1" si="170"/>
        <v>#N/A</v>
      </c>
      <c r="AD361" s="376" t="e">
        <f t="shared" ca="1" si="171"/>
        <v>#N/A</v>
      </c>
      <c r="AE361" s="377">
        <f t="shared" ca="1" si="150"/>
        <v>385.07863103292175</v>
      </c>
      <c r="AF361" s="344"/>
      <c r="AG361" s="359">
        <f t="shared" ca="1" si="172"/>
        <v>-17.256113674777762</v>
      </c>
      <c r="AH361" s="357">
        <f t="shared" ca="1" si="173"/>
        <v>-7.7322850031118202</v>
      </c>
    </row>
    <row r="362" spans="1:34" x14ac:dyDescent="0.25">
      <c r="A362" s="402">
        <f t="shared" ca="1" si="151"/>
        <v>0.01</v>
      </c>
      <c r="B362" s="357">
        <f t="shared" ca="1" si="152"/>
        <v>3.5799999999999677</v>
      </c>
      <c r="C362" s="342"/>
      <c r="D362" s="359">
        <f t="shared" ca="1" si="153"/>
        <v>-2.0050245272742049</v>
      </c>
      <c r="E362" s="360">
        <f t="shared" ca="1" si="154"/>
        <v>-17.923476488746317</v>
      </c>
      <c r="F362" s="357">
        <f t="shared" ca="1" si="155"/>
        <v>18.035274680403766</v>
      </c>
      <c r="G362" s="359">
        <f t="shared" ca="1" si="156"/>
        <v>41.69965441640484</v>
      </c>
      <c r="H362" s="360">
        <f t="shared" ca="1" si="157"/>
        <v>168.64256181938421</v>
      </c>
      <c r="I362" s="357">
        <f t="shared" ca="1" si="158"/>
        <v>173.72154395886659</v>
      </c>
      <c r="J362" s="359">
        <f t="shared" ca="1" si="159"/>
        <v>87.702337317486695</v>
      </c>
      <c r="K362" s="360">
        <f t="shared" ca="1" si="160"/>
        <v>386.76595282494003</v>
      </c>
      <c r="L362" s="357">
        <f t="shared" ca="1" si="145"/>
        <v>396.5849243674474</v>
      </c>
      <c r="M362" s="359">
        <f t="shared" ca="1" si="161"/>
        <v>1.3283920285490805</v>
      </c>
      <c r="N362" s="357">
        <f t="shared" ca="1" si="162"/>
        <v>76.111256774684279</v>
      </c>
      <c r="O362" s="343"/>
      <c r="P362" s="363">
        <f t="shared" ca="1" si="163"/>
        <v>10</v>
      </c>
      <c r="Q362" s="357">
        <f t="shared" ca="1" si="164"/>
        <v>8.3750000000179483</v>
      </c>
      <c r="R362" s="359">
        <f t="shared" ca="1" si="165"/>
        <v>4.2030222943487032E-3</v>
      </c>
      <c r="S362" s="360">
        <f t="shared" ca="1" si="166"/>
        <v>8.6520140100743141</v>
      </c>
      <c r="T362" s="357">
        <f t="shared" ca="1" si="146"/>
        <v>84.876257438829029</v>
      </c>
      <c r="U362" s="364">
        <f t="shared" ca="1" si="147"/>
        <v>0</v>
      </c>
      <c r="V362" s="359">
        <f t="shared" ca="1" si="148"/>
        <v>1.1785200145715218</v>
      </c>
      <c r="W362" s="357">
        <f t="shared" ca="1" si="149"/>
        <v>80.50520150151587</v>
      </c>
      <c r="X362" s="343"/>
      <c r="Y362" s="367" t="str">
        <f t="shared" ca="1" si="167"/>
        <v/>
      </c>
      <c r="Z362" s="368" t="str">
        <f t="shared" ca="1" si="168"/>
        <v/>
      </c>
      <c r="AA362" s="369" t="str">
        <f t="shared" ca="1" si="169"/>
        <v/>
      </c>
      <c r="AB362" s="344"/>
      <c r="AC362" s="363" t="e">
        <f t="shared" ca="1" si="170"/>
        <v>#N/A</v>
      </c>
      <c r="AD362" s="376" t="e">
        <f t="shared" ca="1" si="171"/>
        <v>#N/A</v>
      </c>
      <c r="AE362" s="377">
        <f t="shared" ca="1" si="150"/>
        <v>386.76595282494003</v>
      </c>
      <c r="AF362" s="344"/>
      <c r="AG362" s="359">
        <f t="shared" ca="1" si="172"/>
        <v>-17.881059354320023</v>
      </c>
      <c r="AH362" s="357">
        <f t="shared" ca="1" si="173"/>
        <v>-8.3575489282690061</v>
      </c>
    </row>
    <row r="363" spans="1:34" x14ac:dyDescent="0.25">
      <c r="A363" s="402">
        <f t="shared" ca="1" si="151"/>
        <v>0.01</v>
      </c>
      <c r="B363" s="357">
        <f t="shared" ca="1" si="152"/>
        <v>3.5899999999999674</v>
      </c>
      <c r="C363" s="342"/>
      <c r="D363" s="359">
        <f t="shared" ca="1" si="153"/>
        <v>-2.156050495626423</v>
      </c>
      <c r="E363" s="360">
        <f t="shared" ca="1" si="154"/>
        <v>-18.529541782373872</v>
      </c>
      <c r="F363" s="357">
        <f t="shared" ca="1" si="155"/>
        <v>18.654556344347352</v>
      </c>
      <c r="G363" s="359">
        <f t="shared" ca="1" si="156"/>
        <v>41.678093911448578</v>
      </c>
      <c r="H363" s="360">
        <f t="shared" ca="1" si="157"/>
        <v>168.45726640156047</v>
      </c>
      <c r="I363" s="357">
        <f t="shared" ca="1" si="158"/>
        <v>173.53649217262011</v>
      </c>
      <c r="J363" s="359">
        <f t="shared" ca="1" si="159"/>
        <v>88.119226059125964</v>
      </c>
      <c r="K363" s="360">
        <f t="shared" ca="1" si="160"/>
        <v>388.45145196604477</v>
      </c>
      <c r="L363" s="357">
        <f t="shared" ca="1" si="145"/>
        <v>398.3208863915973</v>
      </c>
      <c r="M363" s="359">
        <f t="shared" ca="1" si="161"/>
        <v>1.3282563356974155</v>
      </c>
      <c r="N363" s="357">
        <f t="shared" ca="1" si="162"/>
        <v>76.103482146973775</v>
      </c>
      <c r="O363" s="343"/>
      <c r="P363" s="363">
        <f t="shared" ca="1" si="163"/>
        <v>10</v>
      </c>
      <c r="Q363" s="357">
        <f t="shared" ca="1" si="164"/>
        <v>2.7916666666847192</v>
      </c>
      <c r="R363" s="359">
        <f t="shared" ca="1" si="165"/>
        <v>1.4010074314556248E-3</v>
      </c>
      <c r="S363" s="360">
        <f t="shared" ca="1" si="166"/>
        <v>8.6519999999999992</v>
      </c>
      <c r="T363" s="357">
        <f t="shared" ca="1" si="146"/>
        <v>84.87612</v>
      </c>
      <c r="U363" s="364">
        <f t="shared" ca="1" si="147"/>
        <v>0</v>
      </c>
      <c r="V363" s="359">
        <f t="shared" ca="1" si="148"/>
        <v>1.1783213172388807</v>
      </c>
      <c r="W363" s="357">
        <f t="shared" ca="1" si="149"/>
        <v>80.320237037030267</v>
      </c>
      <c r="X363" s="343"/>
      <c r="Y363" s="367" t="str">
        <f t="shared" ca="1" si="167"/>
        <v/>
      </c>
      <c r="Z363" s="368" t="str">
        <f t="shared" ca="1" si="168"/>
        <v/>
      </c>
      <c r="AA363" s="369" t="str">
        <f t="shared" ca="1" si="169"/>
        <v/>
      </c>
      <c r="AB363" s="344"/>
      <c r="AC363" s="363" t="e">
        <f t="shared" ca="1" si="170"/>
        <v>#N/A</v>
      </c>
      <c r="AD363" s="376" t="e">
        <f t="shared" ca="1" si="171"/>
        <v>#N/A</v>
      </c>
      <c r="AE363" s="377">
        <f t="shared" ca="1" si="150"/>
        <v>388.45145196604477</v>
      </c>
      <c r="AF363" s="344"/>
      <c r="AG363" s="359">
        <f t="shared" ca="1" si="172"/>
        <v>-18.505338387114364</v>
      </c>
      <c r="AH363" s="357">
        <f t="shared" ca="1" si="173"/>
        <v>-8.9821468833600502</v>
      </c>
    </row>
    <row r="364" spans="1:34" x14ac:dyDescent="0.25">
      <c r="A364" s="402">
        <f t="shared" ca="1" si="151"/>
        <v>0.01</v>
      </c>
      <c r="B364" s="357">
        <f t="shared" ca="1" si="152"/>
        <v>3.5999999999999672</v>
      </c>
      <c r="C364" s="342"/>
      <c r="D364" s="359">
        <f t="shared" ca="1" si="153"/>
        <v>-2.2295925529994682</v>
      </c>
      <c r="E364" s="360">
        <f t="shared" ca="1" si="154"/>
        <v>-18.821714102510704</v>
      </c>
      <c r="F364" s="357">
        <f t="shared" ca="1" si="155"/>
        <v>18.953311180610132</v>
      </c>
      <c r="G364" s="359">
        <f t="shared" ca="1" si="156"/>
        <v>41.655797985918582</v>
      </c>
      <c r="H364" s="360">
        <f t="shared" ca="1" si="157"/>
        <v>168.26904926053535</v>
      </c>
      <c r="I364" s="357">
        <f t="shared" ca="1" si="158"/>
        <v>173.34843075403981</v>
      </c>
      <c r="J364" s="359">
        <f t="shared" ca="1" si="159"/>
        <v>88.535895518612804</v>
      </c>
      <c r="K364" s="360">
        <f t="shared" ca="1" si="160"/>
        <v>390.13508354435527</v>
      </c>
      <c r="L364" s="357">
        <f t="shared" ca="1" si="145"/>
        <v>400.0549814806007</v>
      </c>
      <c r="M364" s="359">
        <f t="shared" ca="1" si="161"/>
        <v>1.3281204210920057</v>
      </c>
      <c r="N364" s="357">
        <f t="shared" ca="1" si="162"/>
        <v>76.095694813709613</v>
      </c>
      <c r="O364" s="343"/>
      <c r="P364" s="363">
        <f t="shared" ca="1" si="163"/>
        <v>23</v>
      </c>
      <c r="Q364" s="357">
        <f t="shared" ca="1" si="164"/>
        <v>0</v>
      </c>
      <c r="R364" s="359">
        <f t="shared" ca="1" si="165"/>
        <v>0</v>
      </c>
      <c r="S364" s="360">
        <f t="shared" ca="1" si="166"/>
        <v>8.6519999999999992</v>
      </c>
      <c r="T364" s="357">
        <f t="shared" ca="1" si="146"/>
        <v>84.87612</v>
      </c>
      <c r="U364" s="364">
        <f t="shared" ca="1" si="147"/>
        <v>0</v>
      </c>
      <c r="V364" s="359">
        <f t="shared" ca="1" si="148"/>
        <v>1.1781228728614426</v>
      </c>
      <c r="W364" s="357">
        <f t="shared" ca="1" si="149"/>
        <v>80.132747703356515</v>
      </c>
      <c r="X364" s="343"/>
      <c r="Y364" s="367" t="str">
        <f t="shared" ca="1" si="167"/>
        <v>Fin de propulsion</v>
      </c>
      <c r="Z364" s="368" t="str">
        <f t="shared" ca="1" si="168"/>
        <v/>
      </c>
      <c r="AA364" s="369" t="str">
        <f t="shared" ca="1" si="169"/>
        <v/>
      </c>
      <c r="AB364" s="344"/>
      <c r="AC364" s="363" t="e">
        <f t="shared" ca="1" si="170"/>
        <v>#N/A</v>
      </c>
      <c r="AD364" s="376" t="e">
        <f t="shared" ca="1" si="171"/>
        <v>#N/A</v>
      </c>
      <c r="AE364" s="377">
        <f t="shared" ca="1" si="150"/>
        <v>390.13508354435527</v>
      </c>
      <c r="AF364" s="344"/>
      <c r="AG364" s="359">
        <f t="shared" ca="1" si="172"/>
        <v>-18.806301969400682</v>
      </c>
      <c r="AH364" s="357">
        <f t="shared" ca="1" si="173"/>
        <v>-9.2834300782513033</v>
      </c>
    </row>
    <row r="365" spans="1:34" x14ac:dyDescent="0.25">
      <c r="A365" s="402">
        <f t="shared" ca="1" si="151"/>
        <v>0.01</v>
      </c>
      <c r="B365" s="357">
        <f t="shared" ca="1" si="152"/>
        <v>3.609999999999967</v>
      </c>
      <c r="C365" s="342"/>
      <c r="D365" s="359">
        <f t="shared" ca="1" si="153"/>
        <v>-2.2256100199964219</v>
      </c>
      <c r="E365" s="360">
        <f t="shared" ca="1" si="154"/>
        <v>-18.80037589475819</v>
      </c>
      <c r="F365" s="357">
        <f t="shared" ca="1" si="155"/>
        <v>18.931652694503811</v>
      </c>
      <c r="G365" s="359">
        <f t="shared" ca="1" si="156"/>
        <v>41.633541885718621</v>
      </c>
      <c r="H365" s="360">
        <f t="shared" ca="1" si="157"/>
        <v>168.08104550158777</v>
      </c>
      <c r="I365" s="357">
        <f t="shared" ca="1" si="158"/>
        <v>173.16058924263541</v>
      </c>
      <c r="J365" s="359">
        <f t="shared" ca="1" si="159"/>
        <v>88.952342217970994</v>
      </c>
      <c r="K365" s="360">
        <f t="shared" ca="1" si="160"/>
        <v>391.81683401816588</v>
      </c>
      <c r="L365" s="357">
        <f t="shared" ca="1" si="145"/>
        <v>401.78719567213932</v>
      </c>
      <c r="M365" s="359">
        <f t="shared" ca="1" si="161"/>
        <v>1.327984284304623</v>
      </c>
      <c r="N365" s="357">
        <f t="shared" ca="1" si="162"/>
        <v>76.087894750356114</v>
      </c>
      <c r="O365" s="343"/>
      <c r="P365" s="363">
        <f t="shared" ca="1" si="163"/>
        <v>23</v>
      </c>
      <c r="Q365" s="357">
        <f t="shared" ca="1" si="164"/>
        <v>0</v>
      </c>
      <c r="R365" s="359">
        <f t="shared" ca="1" si="165"/>
        <v>0</v>
      </c>
      <c r="S365" s="360">
        <f t="shared" ca="1" si="166"/>
        <v>8.6519999999999992</v>
      </c>
      <c r="T365" s="357">
        <f t="shared" ca="1" si="146"/>
        <v>84.87612</v>
      </c>
      <c r="U365" s="364">
        <f t="shared" ca="1" si="147"/>
        <v>0</v>
      </c>
      <c r="V365" s="359">
        <f t="shared" ca="1" si="148"/>
        <v>1.177924682917753</v>
      </c>
      <c r="W365" s="357">
        <f t="shared" ca="1" si="149"/>
        <v>79.945725892047761</v>
      </c>
      <c r="X365" s="343"/>
      <c r="Y365" s="367" t="str">
        <f t="shared" ca="1" si="167"/>
        <v/>
      </c>
      <c r="Z365" s="368" t="str">
        <f t="shared" ca="1" si="168"/>
        <v/>
      </c>
      <c r="AA365" s="369" t="str">
        <f t="shared" ca="1" si="169"/>
        <v/>
      </c>
      <c r="AB365" s="344"/>
      <c r="AC365" s="363" t="e">
        <f t="shared" ca="1" si="170"/>
        <v>#N/A</v>
      </c>
      <c r="AD365" s="376" t="e">
        <f t="shared" ca="1" si="171"/>
        <v>#N/A</v>
      </c>
      <c r="AE365" s="377">
        <f t="shared" ca="1" si="150"/>
        <v>391.81683401816588</v>
      </c>
      <c r="AF365" s="344"/>
      <c r="AG365" s="359">
        <f t="shared" ca="1" si="172"/>
        <v>-18.784311601644941</v>
      </c>
      <c r="AH365" s="357">
        <f t="shared" ca="1" si="173"/>
        <v>-9.2617600211923854</v>
      </c>
    </row>
    <row r="366" spans="1:34" x14ac:dyDescent="0.25">
      <c r="A366" s="402">
        <f t="shared" ca="1" si="151"/>
        <v>0.01</v>
      </c>
      <c r="B366" s="357">
        <f t="shared" ca="1" si="152"/>
        <v>3.6199999999999668</v>
      </c>
      <c r="C366" s="342"/>
      <c r="D366" s="359">
        <f t="shared" ca="1" si="153"/>
        <v>-2.2216367128117236</v>
      </c>
      <c r="E366" s="360">
        <f t="shared" ca="1" si="154"/>
        <v>-18.779090894046561</v>
      </c>
      <c r="F366" s="357">
        <f t="shared" ca="1" si="155"/>
        <v>18.910048241360343</v>
      </c>
      <c r="G366" s="359">
        <f t="shared" ca="1" si="156"/>
        <v>41.611325518590505</v>
      </c>
      <c r="H366" s="360">
        <f t="shared" ca="1" si="157"/>
        <v>167.89325459264731</v>
      </c>
      <c r="I366" s="357">
        <f t="shared" ca="1" si="158"/>
        <v>172.97296710505253</v>
      </c>
      <c r="J366" s="359">
        <f t="shared" ca="1" si="159"/>
        <v>89.36856655499254</v>
      </c>
      <c r="K366" s="360">
        <f t="shared" ca="1" si="160"/>
        <v>393.49670551863704</v>
      </c>
      <c r="L366" s="357">
        <f t="shared" ca="1" si="145"/>
        <v>403.51753114594055</v>
      </c>
      <c r="M366" s="359">
        <f t="shared" ca="1" si="161"/>
        <v>1.3278479249058506</v>
      </c>
      <c r="N366" s="357">
        <f t="shared" ca="1" si="162"/>
        <v>76.080081932309511</v>
      </c>
      <c r="O366" s="343"/>
      <c r="P366" s="363">
        <f t="shared" ca="1" si="163"/>
        <v>23</v>
      </c>
      <c r="Q366" s="357">
        <f t="shared" ca="1" si="164"/>
        <v>0</v>
      </c>
      <c r="R366" s="359">
        <f t="shared" ca="1" si="165"/>
        <v>0</v>
      </c>
      <c r="S366" s="360">
        <f t="shared" ca="1" si="166"/>
        <v>8.6519999999999992</v>
      </c>
      <c r="T366" s="357">
        <f t="shared" ca="1" si="146"/>
        <v>84.87612</v>
      </c>
      <c r="U366" s="364">
        <f t="shared" ca="1" si="147"/>
        <v>0</v>
      </c>
      <c r="V366" s="359">
        <f t="shared" ca="1" si="148"/>
        <v>1.1777267470389337</v>
      </c>
      <c r="W366" s="357">
        <f t="shared" ca="1" si="149"/>
        <v>79.759170115406903</v>
      </c>
      <c r="X366" s="343"/>
      <c r="Y366" s="367" t="str">
        <f t="shared" ca="1" si="167"/>
        <v/>
      </c>
      <c r="Z366" s="368" t="str">
        <f t="shared" ca="1" si="168"/>
        <v/>
      </c>
      <c r="AA366" s="369" t="str">
        <f t="shared" ca="1" si="169"/>
        <v/>
      </c>
      <c r="AB366" s="344"/>
      <c r="AC366" s="363" t="e">
        <f t="shared" ca="1" si="170"/>
        <v>#N/A</v>
      </c>
      <c r="AD366" s="376" t="e">
        <f t="shared" ca="1" si="171"/>
        <v>#N/A</v>
      </c>
      <c r="AE366" s="377">
        <f t="shared" ca="1" si="150"/>
        <v>393.49670551863704</v>
      </c>
      <c r="AF366" s="344"/>
      <c r="AG366" s="359">
        <f t="shared" ca="1" si="172"/>
        <v>-18.762374570266523</v>
      </c>
      <c r="AH366" s="357">
        <f t="shared" ca="1" si="173"/>
        <v>-9.2401440004678417</v>
      </c>
    </row>
    <row r="367" spans="1:34" x14ac:dyDescent="0.25">
      <c r="A367" s="402">
        <f t="shared" ca="1" si="151"/>
        <v>0.01</v>
      </c>
      <c r="B367" s="357">
        <f t="shared" ca="1" si="152"/>
        <v>3.6299999999999666</v>
      </c>
      <c r="C367" s="342"/>
      <c r="D367" s="359">
        <f t="shared" ca="1" si="153"/>
        <v>-2.2176726014236752</v>
      </c>
      <c r="E367" s="360">
        <f t="shared" ca="1" si="154"/>
        <v>-18.75785893104074</v>
      </c>
      <c r="F367" s="357">
        <f t="shared" ca="1" si="155"/>
        <v>18.888497649202545</v>
      </c>
      <c r="G367" s="359">
        <f t="shared" ca="1" si="156"/>
        <v>41.589148792576268</v>
      </c>
      <c r="H367" s="360">
        <f t="shared" ca="1" si="157"/>
        <v>167.70567600333689</v>
      </c>
      <c r="I367" s="357">
        <f t="shared" ca="1" si="158"/>
        <v>172.78556380967495</v>
      </c>
      <c r="J367" s="359">
        <f t="shared" ca="1" si="159"/>
        <v>89.784568926548374</v>
      </c>
      <c r="K367" s="360">
        <f t="shared" ca="1" si="160"/>
        <v>395.17470017161696</v>
      </c>
      <c r="L367" s="357">
        <f t="shared" ca="1" si="145"/>
        <v>405.2459900764639</v>
      </c>
      <c r="M367" s="359">
        <f t="shared" ca="1" si="161"/>
        <v>1.3277113424650764</v>
      </c>
      <c r="N367" s="357">
        <f t="shared" ca="1" si="162"/>
        <v>76.072256334897546</v>
      </c>
      <c r="O367" s="343"/>
      <c r="P367" s="363">
        <f t="shared" ca="1" si="163"/>
        <v>23</v>
      </c>
      <c r="Q367" s="357">
        <f t="shared" ca="1" si="164"/>
        <v>0</v>
      </c>
      <c r="R367" s="359">
        <f t="shared" ca="1" si="165"/>
        <v>0</v>
      </c>
      <c r="S367" s="360">
        <f t="shared" ca="1" si="166"/>
        <v>8.6519999999999992</v>
      </c>
      <c r="T367" s="357">
        <f t="shared" ca="1" si="146"/>
        <v>84.87612</v>
      </c>
      <c r="U367" s="364">
        <f t="shared" ca="1" si="147"/>
        <v>0</v>
      </c>
      <c r="V367" s="359">
        <f t="shared" ca="1" si="148"/>
        <v>1.1775290648570755</v>
      </c>
      <c r="W367" s="357">
        <f t="shared" ca="1" si="149"/>
        <v>79.573078891805665</v>
      </c>
      <c r="X367" s="343"/>
      <c r="Y367" s="367" t="str">
        <f t="shared" ca="1" si="167"/>
        <v/>
      </c>
      <c r="Z367" s="368" t="str">
        <f t="shared" ca="1" si="168"/>
        <v/>
      </c>
      <c r="AA367" s="369" t="str">
        <f t="shared" ca="1" si="169"/>
        <v/>
      </c>
      <c r="AB367" s="344"/>
      <c r="AC367" s="363" t="e">
        <f t="shared" ca="1" si="170"/>
        <v>#N/A</v>
      </c>
      <c r="AD367" s="376" t="e">
        <f t="shared" ca="1" si="171"/>
        <v>#N/A</v>
      </c>
      <c r="AE367" s="377">
        <f t="shared" ca="1" si="150"/>
        <v>395.17470017161696</v>
      </c>
      <c r="AF367" s="344"/>
      <c r="AG367" s="359">
        <f t="shared" ca="1" si="172"/>
        <v>-18.740490701445562</v>
      </c>
      <c r="AH367" s="357">
        <f t="shared" ca="1" si="173"/>
        <v>-9.2185818441293232</v>
      </c>
    </row>
    <row r="368" spans="1:34" x14ac:dyDescent="0.25">
      <c r="A368" s="402">
        <f t="shared" ca="1" si="151"/>
        <v>0.01</v>
      </c>
      <c r="B368" s="357">
        <f t="shared" ca="1" si="152"/>
        <v>3.6399999999999664</v>
      </c>
      <c r="C368" s="342"/>
      <c r="D368" s="359">
        <f t="shared" ca="1" si="153"/>
        <v>-2.2137176559325464</v>
      </c>
      <c r="E368" s="360">
        <f t="shared" ca="1" si="154"/>
        <v>-18.736679837096332</v>
      </c>
      <c r="F368" s="357">
        <f t="shared" ca="1" si="155"/>
        <v>18.867000746754631</v>
      </c>
      <c r="G368" s="359">
        <f t="shared" ca="1" si="156"/>
        <v>41.567011616016941</v>
      </c>
      <c r="H368" s="360">
        <f t="shared" ca="1" si="157"/>
        <v>167.51830920496593</v>
      </c>
      <c r="I368" s="357">
        <f t="shared" ca="1" si="158"/>
        <v>172.59837882661779</v>
      </c>
      <c r="J368" s="359">
        <f t="shared" ca="1" si="159"/>
        <v>90.200349728591334</v>
      </c>
      <c r="K368" s="360">
        <f t="shared" ca="1" si="160"/>
        <v>396.85082009765847</v>
      </c>
      <c r="L368" s="357">
        <f t="shared" ca="1" si="145"/>
        <v>406.97257463291584</v>
      </c>
      <c r="M368" s="359">
        <f t="shared" ca="1" si="161"/>
        <v>1.3275745365504914</v>
      </c>
      <c r="N368" s="357">
        <f t="shared" ca="1" si="162"/>
        <v>76.064417933379403</v>
      </c>
      <c r="O368" s="343"/>
      <c r="P368" s="363">
        <f t="shared" ca="1" si="163"/>
        <v>23</v>
      </c>
      <c r="Q368" s="357">
        <f t="shared" ca="1" si="164"/>
        <v>0</v>
      </c>
      <c r="R368" s="359">
        <f t="shared" ca="1" si="165"/>
        <v>0</v>
      </c>
      <c r="S368" s="360">
        <f t="shared" ca="1" si="166"/>
        <v>8.6519999999999992</v>
      </c>
      <c r="T368" s="357">
        <f t="shared" ca="1" si="146"/>
        <v>84.87612</v>
      </c>
      <c r="U368" s="364">
        <f t="shared" ca="1" si="147"/>
        <v>0</v>
      </c>
      <c r="V368" s="359">
        <f t="shared" ca="1" si="148"/>
        <v>1.1773316360052386</v>
      </c>
      <c r="W368" s="357">
        <f t="shared" ca="1" si="149"/>
        <v>79.387450745655286</v>
      </c>
      <c r="X368" s="343"/>
      <c r="Y368" s="367" t="str">
        <f t="shared" ca="1" si="167"/>
        <v/>
      </c>
      <c r="Z368" s="368" t="str">
        <f t="shared" ca="1" si="168"/>
        <v/>
      </c>
      <c r="AA368" s="369" t="str">
        <f t="shared" ca="1" si="169"/>
        <v/>
      </c>
      <c r="AB368" s="344"/>
      <c r="AC368" s="363" t="e">
        <f t="shared" ca="1" si="170"/>
        <v>#N/A</v>
      </c>
      <c r="AD368" s="376" t="e">
        <f t="shared" ca="1" si="171"/>
        <v>#N/A</v>
      </c>
      <c r="AE368" s="377">
        <f t="shared" ca="1" si="150"/>
        <v>396.85082009765847</v>
      </c>
      <c r="AF368" s="344"/>
      <c r="AG368" s="359">
        <f t="shared" ca="1" si="172"/>
        <v>-18.718659822057209</v>
      </c>
      <c r="AH368" s="357">
        <f t="shared" ca="1" si="173"/>
        <v>-9.1970733809299201</v>
      </c>
    </row>
    <row r="369" spans="1:34" x14ac:dyDescent="0.25">
      <c r="A369" s="402">
        <f t="shared" ca="1" si="151"/>
        <v>0.01</v>
      </c>
      <c r="B369" s="357">
        <f t="shared" ca="1" si="152"/>
        <v>3.6499999999999662</v>
      </c>
      <c r="C369" s="342"/>
      <c r="D369" s="359">
        <f t="shared" ca="1" si="153"/>
        <v>-2.2097718465599705</v>
      </c>
      <c r="E369" s="360">
        <f t="shared" ca="1" si="154"/>
        <v>-18.715553444256315</v>
      </c>
      <c r="F369" s="357">
        <f t="shared" ca="1" si="155"/>
        <v>18.845557363438829</v>
      </c>
      <c r="G369" s="359">
        <f t="shared" ca="1" si="156"/>
        <v>41.544913897551339</v>
      </c>
      <c r="H369" s="360">
        <f t="shared" ca="1" si="157"/>
        <v>167.33115367052338</v>
      </c>
      <c r="I369" s="357">
        <f t="shared" ca="1" si="158"/>
        <v>172.41141162772047</v>
      </c>
      <c r="J369" s="359">
        <f t="shared" ca="1" si="159"/>
        <v>90.615909356159179</v>
      </c>
      <c r="K369" s="360">
        <f t="shared" ca="1" si="160"/>
        <v>398.52506741203592</v>
      </c>
      <c r="L369" s="357">
        <f t="shared" ca="1" si="145"/>
        <v>408.69728697926467</v>
      </c>
      <c r="M369" s="359">
        <f t="shared" ca="1" si="161"/>
        <v>1.3274375067290838</v>
      </c>
      <c r="N369" s="357">
        <f t="shared" ca="1" si="162"/>
        <v>76.056566702945318</v>
      </c>
      <c r="O369" s="343"/>
      <c r="P369" s="363">
        <f t="shared" ca="1" si="163"/>
        <v>23</v>
      </c>
      <c r="Q369" s="357">
        <f t="shared" ca="1" si="164"/>
        <v>0</v>
      </c>
      <c r="R369" s="359">
        <f t="shared" ca="1" si="165"/>
        <v>0</v>
      </c>
      <c r="S369" s="360">
        <f t="shared" ca="1" si="166"/>
        <v>8.6519999999999992</v>
      </c>
      <c r="T369" s="357">
        <f t="shared" ca="1" si="146"/>
        <v>84.87612</v>
      </c>
      <c r="U369" s="364">
        <f t="shared" ca="1" si="147"/>
        <v>0</v>
      </c>
      <c r="V369" s="359">
        <f t="shared" ca="1" si="148"/>
        <v>1.177134460117446</v>
      </c>
      <c r="W369" s="357">
        <f t="shared" ca="1" si="149"/>
        <v>79.202284207376692</v>
      </c>
      <c r="X369" s="343"/>
      <c r="Y369" s="367" t="str">
        <f t="shared" ca="1" si="167"/>
        <v/>
      </c>
      <c r="Z369" s="368" t="str">
        <f t="shared" ca="1" si="168"/>
        <v/>
      </c>
      <c r="AA369" s="369" t="str">
        <f t="shared" ca="1" si="169"/>
        <v/>
      </c>
      <c r="AB369" s="344"/>
      <c r="AC369" s="363" t="e">
        <f t="shared" ca="1" si="170"/>
        <v>#N/A</v>
      </c>
      <c r="AD369" s="376" t="e">
        <f t="shared" ca="1" si="171"/>
        <v>#N/A</v>
      </c>
      <c r="AE369" s="377">
        <f t="shared" ca="1" si="150"/>
        <v>398.52506741203592</v>
      </c>
      <c r="AF369" s="344"/>
      <c r="AG369" s="359">
        <f t="shared" ca="1" si="172"/>
        <v>-18.696881759668244</v>
      </c>
      <c r="AH369" s="357">
        <f t="shared" ca="1" si="173"/>
        <v>-9.1756184403207683</v>
      </c>
    </row>
    <row r="370" spans="1:34" x14ac:dyDescent="0.25">
      <c r="A370" s="402">
        <f t="shared" ca="1" si="151"/>
        <v>0.01</v>
      </c>
      <c r="B370" s="357">
        <f t="shared" ca="1" si="152"/>
        <v>3.6599999999999659</v>
      </c>
      <c r="C370" s="342"/>
      <c r="D370" s="359">
        <f t="shared" ca="1" si="153"/>
        <v>-2.205835143648359</v>
      </c>
      <c r="E370" s="360">
        <f t="shared" ca="1" si="154"/>
        <v>-18.694479585247613</v>
      </c>
      <c r="F370" s="357">
        <f t="shared" ca="1" si="155"/>
        <v>18.824167329371942</v>
      </c>
      <c r="G370" s="359">
        <f t="shared" ca="1" si="156"/>
        <v>41.522855546114855</v>
      </c>
      <c r="H370" s="360">
        <f t="shared" ca="1" si="157"/>
        <v>167.14420887467091</v>
      </c>
      <c r="I370" s="357">
        <f t="shared" ca="1" si="158"/>
        <v>172.22466168653995</v>
      </c>
      <c r="J370" s="359">
        <f t="shared" ca="1" si="159"/>
        <v>91.031248203377515</v>
      </c>
      <c r="K370" s="360">
        <f t="shared" ca="1" si="160"/>
        <v>400.19744422476191</v>
      </c>
      <c r="L370" s="357">
        <f t="shared" ca="1" si="145"/>
        <v>410.4201292742552</v>
      </c>
      <c r="M370" s="359">
        <f t="shared" ca="1" si="161"/>
        <v>1.3273002525666364</v>
      </c>
      <c r="N370" s="357">
        <f t="shared" ca="1" si="162"/>
        <v>76.048702618716476</v>
      </c>
      <c r="O370" s="343"/>
      <c r="P370" s="363">
        <f t="shared" ca="1" si="163"/>
        <v>23</v>
      </c>
      <c r="Q370" s="357">
        <f t="shared" ca="1" si="164"/>
        <v>0</v>
      </c>
      <c r="R370" s="359">
        <f t="shared" ca="1" si="165"/>
        <v>0</v>
      </c>
      <c r="S370" s="360">
        <f t="shared" ca="1" si="166"/>
        <v>8.6519999999999992</v>
      </c>
      <c r="T370" s="357">
        <f t="shared" ca="1" si="146"/>
        <v>84.87612</v>
      </c>
      <c r="U370" s="364">
        <f t="shared" ca="1" si="147"/>
        <v>0</v>
      </c>
      <c r="V370" s="359">
        <f t="shared" ca="1" si="148"/>
        <v>1.1769375368286821</v>
      </c>
      <c r="W370" s="357">
        <f t="shared" ca="1" si="149"/>
        <v>79.017577813371247</v>
      </c>
      <c r="X370" s="343"/>
      <c r="Y370" s="367" t="str">
        <f t="shared" ca="1" si="167"/>
        <v/>
      </c>
      <c r="Z370" s="368" t="str">
        <f t="shared" ca="1" si="168"/>
        <v/>
      </c>
      <c r="AA370" s="369" t="str">
        <f t="shared" ca="1" si="169"/>
        <v/>
      </c>
      <c r="AB370" s="344"/>
      <c r="AC370" s="363" t="e">
        <f t="shared" ca="1" si="170"/>
        <v>#N/A</v>
      </c>
      <c r="AD370" s="376" t="e">
        <f t="shared" ca="1" si="171"/>
        <v>#N/A</v>
      </c>
      <c r="AE370" s="377">
        <f t="shared" ca="1" si="150"/>
        <v>400.19744422476191</v>
      </c>
      <c r="AF370" s="344"/>
      <c r="AG370" s="359">
        <f t="shared" ca="1" si="172"/>
        <v>-18.675156342533597</v>
      </c>
      <c r="AH370" s="357">
        <f t="shared" ca="1" si="173"/>
        <v>-9.1542168524476075</v>
      </c>
    </row>
    <row r="371" spans="1:34" x14ac:dyDescent="0.25">
      <c r="A371" s="402">
        <f t="shared" ca="1" si="151"/>
        <v>0.01</v>
      </c>
      <c r="B371" s="357">
        <f t="shared" ca="1" si="152"/>
        <v>3.6699999999999657</v>
      </c>
      <c r="C371" s="342"/>
      <c r="D371" s="359">
        <f t="shared" ca="1" si="153"/>
        <v>-2.201907517660302</v>
      </c>
      <c r="E371" s="360">
        <f t="shared" ca="1" si="154"/>
        <v>-18.673458093477809</v>
      </c>
      <c r="F371" s="357">
        <f t="shared" ca="1" si="155"/>
        <v>18.802830475361972</v>
      </c>
      <c r="G371" s="359">
        <f t="shared" ca="1" si="156"/>
        <v>41.500836470938253</v>
      </c>
      <c r="H371" s="360">
        <f t="shared" ca="1" si="157"/>
        <v>166.95747429373614</v>
      </c>
      <c r="I371" s="357">
        <f t="shared" ca="1" si="158"/>
        <v>172.03812847834379</v>
      </c>
      <c r="J371" s="359">
        <f t="shared" ca="1" si="159"/>
        <v>91.446366663462783</v>
      </c>
      <c r="K371" s="360">
        <f t="shared" ca="1" si="160"/>
        <v>401.86795264060396</v>
      </c>
      <c r="L371" s="357">
        <f t="shared" ca="1" si="145"/>
        <v>412.14110367142365</v>
      </c>
      <c r="M371" s="359">
        <f t="shared" ca="1" si="161"/>
        <v>1.3271627736277229</v>
      </c>
      <c r="N371" s="357">
        <f t="shared" ca="1" si="162"/>
        <v>76.040825655744797</v>
      </c>
      <c r="O371" s="343"/>
      <c r="P371" s="363">
        <f t="shared" ca="1" si="163"/>
        <v>23</v>
      </c>
      <c r="Q371" s="357">
        <f t="shared" ca="1" si="164"/>
        <v>0</v>
      </c>
      <c r="R371" s="359">
        <f t="shared" ca="1" si="165"/>
        <v>0</v>
      </c>
      <c r="S371" s="360">
        <f t="shared" ca="1" si="166"/>
        <v>8.6519999999999992</v>
      </c>
      <c r="T371" s="357">
        <f t="shared" ca="1" si="146"/>
        <v>84.87612</v>
      </c>
      <c r="U371" s="364">
        <f t="shared" ca="1" si="147"/>
        <v>0</v>
      </c>
      <c r="V371" s="359">
        <f t="shared" ca="1" si="148"/>
        <v>1.1767408657748886</v>
      </c>
      <c r="W371" s="357">
        <f t="shared" ca="1" si="149"/>
        <v>78.833330105991578</v>
      </c>
      <c r="X371" s="343"/>
      <c r="Y371" s="367" t="str">
        <f t="shared" ca="1" si="167"/>
        <v/>
      </c>
      <c r="Z371" s="368" t="str">
        <f t="shared" ca="1" si="168"/>
        <v/>
      </c>
      <c r="AA371" s="369" t="str">
        <f t="shared" ca="1" si="169"/>
        <v/>
      </c>
      <c r="AB371" s="344"/>
      <c r="AC371" s="363" t="e">
        <f t="shared" ca="1" si="170"/>
        <v>#N/A</v>
      </c>
      <c r="AD371" s="376" t="e">
        <f t="shared" ca="1" si="171"/>
        <v>#N/A</v>
      </c>
      <c r="AE371" s="377">
        <f t="shared" ca="1" si="150"/>
        <v>401.86795264060396</v>
      </c>
      <c r="AF371" s="344"/>
      <c r="AG371" s="359">
        <f t="shared" ca="1" si="172"/>
        <v>-18.653483399592936</v>
      </c>
      <c r="AH371" s="357">
        <f t="shared" ca="1" si="173"/>
        <v>-9.132868448147395</v>
      </c>
    </row>
    <row r="372" spans="1:34" x14ac:dyDescent="0.25">
      <c r="A372" s="402">
        <f t="shared" ca="1" si="151"/>
        <v>0.01</v>
      </c>
      <c r="B372" s="357">
        <f t="shared" ca="1" si="152"/>
        <v>3.6799999999999655</v>
      </c>
      <c r="C372" s="342"/>
      <c r="D372" s="359">
        <f t="shared" ca="1" si="153"/>
        <v>-2.1979889391779825</v>
      </c>
      <c r="E372" s="360">
        <f t="shared" ca="1" si="154"/>
        <v>-18.65248880303178</v>
      </c>
      <c r="F372" s="357">
        <f t="shared" ca="1" si="155"/>
        <v>18.781546632904721</v>
      </c>
      <c r="G372" s="359">
        <f t="shared" ca="1" si="156"/>
        <v>41.478856581546474</v>
      </c>
      <c r="H372" s="360">
        <f t="shared" ca="1" si="157"/>
        <v>166.77094940570584</v>
      </c>
      <c r="I372" s="357">
        <f t="shared" ca="1" si="158"/>
        <v>171.85181148010338</v>
      </c>
      <c r="J372" s="359">
        <f t="shared" ca="1" si="159"/>
        <v>91.861265128725208</v>
      </c>
      <c r="K372" s="360">
        <f t="shared" ca="1" si="160"/>
        <v>403.53659475910115</v>
      </c>
      <c r="L372" s="357">
        <f t="shared" ca="1" si="145"/>
        <v>413.86021231911258</v>
      </c>
      <c r="M372" s="359">
        <f t="shared" ca="1" si="161"/>
        <v>1.3270250694757026</v>
      </c>
      <c r="N372" s="357">
        <f t="shared" ca="1" si="162"/>
        <v>76.032935789012612</v>
      </c>
      <c r="O372" s="343"/>
      <c r="P372" s="363">
        <f t="shared" ca="1" si="163"/>
        <v>23</v>
      </c>
      <c r="Q372" s="357">
        <f t="shared" ca="1" si="164"/>
        <v>0</v>
      </c>
      <c r="R372" s="359">
        <f t="shared" ca="1" si="165"/>
        <v>0</v>
      </c>
      <c r="S372" s="360">
        <f t="shared" ca="1" si="166"/>
        <v>8.6519999999999992</v>
      </c>
      <c r="T372" s="357">
        <f t="shared" ca="1" si="146"/>
        <v>84.87612</v>
      </c>
      <c r="U372" s="364">
        <f t="shared" ca="1" si="147"/>
        <v>0</v>
      </c>
      <c r="V372" s="359">
        <f t="shared" ca="1" si="148"/>
        <v>1.1765444465929624</v>
      </c>
      <c r="W372" s="357">
        <f t="shared" ca="1" si="149"/>
        <v>78.649539633512475</v>
      </c>
      <c r="X372" s="343"/>
      <c r="Y372" s="367" t="str">
        <f t="shared" ca="1" si="167"/>
        <v/>
      </c>
      <c r="Z372" s="368" t="str">
        <f t="shared" ca="1" si="168"/>
        <v/>
      </c>
      <c r="AA372" s="369" t="str">
        <f t="shared" ca="1" si="169"/>
        <v/>
      </c>
      <c r="AB372" s="344"/>
      <c r="AC372" s="363" t="e">
        <f t="shared" ca="1" si="170"/>
        <v>#N/A</v>
      </c>
      <c r="AD372" s="376" t="e">
        <f t="shared" ca="1" si="171"/>
        <v>#N/A</v>
      </c>
      <c r="AE372" s="377">
        <f t="shared" ca="1" si="150"/>
        <v>403.53659475910115</v>
      </c>
      <c r="AF372" s="344"/>
      <c r="AG372" s="359">
        <f t="shared" ca="1" si="172"/>
        <v>-18.631862760467264</v>
      </c>
      <c r="AH372" s="357">
        <f t="shared" ca="1" si="173"/>
        <v>-9.111573058944936</v>
      </c>
    </row>
    <row r="373" spans="1:34" x14ac:dyDescent="0.25">
      <c r="A373" s="402">
        <f t="shared" ca="1" si="151"/>
        <v>0.01</v>
      </c>
      <c r="B373" s="357">
        <f t="shared" ca="1" si="152"/>
        <v>3.6899999999999653</v>
      </c>
      <c r="C373" s="342"/>
      <c r="D373" s="359">
        <f t="shared" ca="1" si="153"/>
        <v>-2.1940793789026025</v>
      </c>
      <c r="E373" s="360">
        <f t="shared" ca="1" si="154"/>
        <v>-18.631571548668425</v>
      </c>
      <c r="F373" s="357">
        <f t="shared" ca="1" si="155"/>
        <v>18.760315634180476</v>
      </c>
      <c r="G373" s="359">
        <f t="shared" ca="1" si="156"/>
        <v>41.456915787757445</v>
      </c>
      <c r="H373" s="360">
        <f t="shared" ca="1" si="157"/>
        <v>166.58463369021916</v>
      </c>
      <c r="I373" s="357">
        <f t="shared" ca="1" si="158"/>
        <v>171.66571017048722</v>
      </c>
      <c r="J373" s="359">
        <f t="shared" ca="1" si="159"/>
        <v>92.275943990571733</v>
      </c>
      <c r="K373" s="360">
        <f t="shared" ca="1" si="160"/>
        <v>405.20337267458075</v>
      </c>
      <c r="L373" s="357">
        <f t="shared" ca="1" si="145"/>
        <v>415.57745736048571</v>
      </c>
      <c r="M373" s="359">
        <f t="shared" ca="1" si="161"/>
        <v>1.3268871396727175</v>
      </c>
      <c r="N373" s="357">
        <f t="shared" ca="1" si="162"/>
        <v>76.02503299343249</v>
      </c>
      <c r="O373" s="343"/>
      <c r="P373" s="363">
        <f t="shared" ca="1" si="163"/>
        <v>23</v>
      </c>
      <c r="Q373" s="357">
        <f t="shared" ca="1" si="164"/>
        <v>0</v>
      </c>
      <c r="R373" s="359">
        <f t="shared" ca="1" si="165"/>
        <v>0</v>
      </c>
      <c r="S373" s="360">
        <f t="shared" ca="1" si="166"/>
        <v>8.6519999999999992</v>
      </c>
      <c r="T373" s="357">
        <f t="shared" ca="1" si="146"/>
        <v>84.87612</v>
      </c>
      <c r="U373" s="364">
        <f t="shared" ca="1" si="147"/>
        <v>0</v>
      </c>
      <c r="V373" s="359">
        <f t="shared" ca="1" si="148"/>
        <v>1.1763482789207509</v>
      </c>
      <c r="W373" s="357">
        <f t="shared" ca="1" si="149"/>
        <v>78.466204950102139</v>
      </c>
      <c r="X373" s="343"/>
      <c r="Y373" s="367" t="str">
        <f t="shared" ca="1" si="167"/>
        <v/>
      </c>
      <c r="Z373" s="368" t="str">
        <f t="shared" ca="1" si="168"/>
        <v/>
      </c>
      <c r="AA373" s="369" t="str">
        <f t="shared" ca="1" si="169"/>
        <v/>
      </c>
      <c r="AB373" s="344"/>
      <c r="AC373" s="363" t="e">
        <f t="shared" ca="1" si="170"/>
        <v>#N/A</v>
      </c>
      <c r="AD373" s="376" t="e">
        <f t="shared" ca="1" si="171"/>
        <v>#N/A</v>
      </c>
      <c r="AE373" s="377">
        <f t="shared" ca="1" si="150"/>
        <v>405.20337267458075</v>
      </c>
      <c r="AF373" s="344"/>
      <c r="AG373" s="359">
        <f t="shared" ca="1" si="172"/>
        <v>-18.610294255455564</v>
      </c>
      <c r="AH373" s="357">
        <f t="shared" ca="1" si="173"/>
        <v>-9.0903305170495248</v>
      </c>
    </row>
    <row r="374" spans="1:34" x14ac:dyDescent="0.25">
      <c r="A374" s="402">
        <f t="shared" ca="1" si="151"/>
        <v>0.01</v>
      </c>
      <c r="B374" s="357">
        <f t="shared" ca="1" si="152"/>
        <v>3.6999999999999651</v>
      </c>
      <c r="C374" s="342"/>
      <c r="D374" s="359">
        <f t="shared" ca="1" si="153"/>
        <v>-2.1901788076537922</v>
      </c>
      <c r="E374" s="360">
        <f t="shared" ca="1" si="154"/>
        <v>-18.610706165817358</v>
      </c>
      <c r="F374" s="357">
        <f t="shared" ca="1" si="155"/>
        <v>18.739137312050627</v>
      </c>
      <c r="G374" s="359">
        <f t="shared" ca="1" si="156"/>
        <v>41.435013999680905</v>
      </c>
      <c r="H374" s="360">
        <f t="shared" ca="1" si="157"/>
        <v>166.398526628561</v>
      </c>
      <c r="I374" s="357">
        <f t="shared" ca="1" si="158"/>
        <v>171.47982402985394</v>
      </c>
      <c r="J374" s="359">
        <f t="shared" ca="1" si="159"/>
        <v>92.690403639508929</v>
      </c>
      <c r="K374" s="360">
        <f t="shared" ca="1" si="160"/>
        <v>406.86828847617465</v>
      </c>
      <c r="L374" s="357">
        <f t="shared" ca="1" si="145"/>
        <v>417.29284093354244</v>
      </c>
      <c r="M374" s="359">
        <f t="shared" ca="1" si="161"/>
        <v>1.3267489837796884</v>
      </c>
      <c r="N374" s="357">
        <f t="shared" ca="1" si="162"/>
        <v>76.017117243847068</v>
      </c>
      <c r="O374" s="343"/>
      <c r="P374" s="363">
        <f t="shared" ca="1" si="163"/>
        <v>23</v>
      </c>
      <c r="Q374" s="357">
        <f t="shared" ca="1" si="164"/>
        <v>0</v>
      </c>
      <c r="R374" s="359">
        <f t="shared" ca="1" si="165"/>
        <v>0</v>
      </c>
      <c r="S374" s="360">
        <f t="shared" ca="1" si="166"/>
        <v>8.6519999999999992</v>
      </c>
      <c r="T374" s="357">
        <f t="shared" ca="1" si="146"/>
        <v>84.87612</v>
      </c>
      <c r="U374" s="364">
        <f t="shared" ca="1" si="147"/>
        <v>0</v>
      </c>
      <c r="V374" s="359">
        <f t="shared" ca="1" si="148"/>
        <v>1.1761523623970496</v>
      </c>
      <c r="W374" s="357">
        <f t="shared" ca="1" si="149"/>
        <v>78.283324615793219</v>
      </c>
      <c r="X374" s="343"/>
      <c r="Y374" s="367" t="str">
        <f t="shared" ca="1" si="167"/>
        <v/>
      </c>
      <c r="Z374" s="368" t="str">
        <f t="shared" ca="1" si="168"/>
        <v/>
      </c>
      <c r="AA374" s="369" t="str">
        <f t="shared" ca="1" si="169"/>
        <v/>
      </c>
      <c r="AB374" s="344"/>
      <c r="AC374" s="363" t="e">
        <f t="shared" ca="1" si="170"/>
        <v>#N/A</v>
      </c>
      <c r="AD374" s="376" t="e">
        <f t="shared" ca="1" si="171"/>
        <v>#N/A</v>
      </c>
      <c r="AE374" s="377">
        <f t="shared" ca="1" si="150"/>
        <v>406.86828847617465</v>
      </c>
      <c r="AF374" s="344"/>
      <c r="AG374" s="359">
        <f t="shared" ca="1" si="172"/>
        <v>-18.588777715531386</v>
      </c>
      <c r="AH374" s="357">
        <f t="shared" ca="1" si="173"/>
        <v>-9.0691406553516121</v>
      </c>
    </row>
    <row r="375" spans="1:34" x14ac:dyDescent="0.25">
      <c r="A375" s="402">
        <f t="shared" ca="1" si="151"/>
        <v>0.01</v>
      </c>
      <c r="B375" s="357">
        <f t="shared" ca="1" si="152"/>
        <v>3.7099999999999649</v>
      </c>
      <c r="C375" s="342"/>
      <c r="D375" s="359">
        <f t="shared" ca="1" si="153"/>
        <v>-2.1862871963690336</v>
      </c>
      <c r="E375" s="360">
        <f t="shared" ca="1" si="154"/>
        <v>-18.589892490575636</v>
      </c>
      <c r="F375" s="357">
        <f t="shared" ca="1" si="155"/>
        <v>18.71801150005437</v>
      </c>
      <c r="G375" s="359">
        <f t="shared" ca="1" si="156"/>
        <v>41.413151127717214</v>
      </c>
      <c r="H375" s="360">
        <f t="shared" ca="1" si="157"/>
        <v>166.21262770365524</v>
      </c>
      <c r="I375" s="357">
        <f t="shared" ca="1" si="158"/>
        <v>171.29415254024593</v>
      </c>
      <c r="J375" s="359">
        <f t="shared" ca="1" si="159"/>
        <v>93.104644465145924</v>
      </c>
      <c r="K375" s="360">
        <f t="shared" ca="1" si="160"/>
        <v>408.53134424783576</v>
      </c>
      <c r="L375" s="357">
        <f t="shared" ca="1" si="145"/>
        <v>419.0063651711331</v>
      </c>
      <c r="M375" s="359">
        <f t="shared" ca="1" si="161"/>
        <v>1.3266106013563097</v>
      </c>
      <c r="N375" s="357">
        <f t="shared" ca="1" si="162"/>
        <v>76.009188515028669</v>
      </c>
      <c r="O375" s="343"/>
      <c r="P375" s="363">
        <f t="shared" ca="1" si="163"/>
        <v>23</v>
      </c>
      <c r="Q375" s="357">
        <f t="shared" ca="1" si="164"/>
        <v>0</v>
      </c>
      <c r="R375" s="359">
        <f t="shared" ca="1" si="165"/>
        <v>0</v>
      </c>
      <c r="S375" s="360">
        <f t="shared" ca="1" si="166"/>
        <v>8.6519999999999992</v>
      </c>
      <c r="T375" s="357">
        <f t="shared" ca="1" si="146"/>
        <v>84.87612</v>
      </c>
      <c r="U375" s="364">
        <f t="shared" ca="1" si="147"/>
        <v>0</v>
      </c>
      <c r="V375" s="359">
        <f t="shared" ca="1" si="148"/>
        <v>1.1759566966615997</v>
      </c>
      <c r="W375" s="357">
        <f t="shared" ca="1" si="149"/>
        <v>78.100897196454682</v>
      </c>
      <c r="X375" s="343"/>
      <c r="Y375" s="367" t="str">
        <f t="shared" ca="1" si="167"/>
        <v/>
      </c>
      <c r="Z375" s="368" t="str">
        <f t="shared" ca="1" si="168"/>
        <v/>
      </c>
      <c r="AA375" s="369" t="str">
        <f t="shared" ca="1" si="169"/>
        <v/>
      </c>
      <c r="AB375" s="344"/>
      <c r="AC375" s="363" t="e">
        <f t="shared" ca="1" si="170"/>
        <v>#N/A</v>
      </c>
      <c r="AD375" s="376" t="e">
        <f t="shared" ca="1" si="171"/>
        <v>#N/A</v>
      </c>
      <c r="AE375" s="377">
        <f t="shared" ca="1" si="150"/>
        <v>408.53134424783576</v>
      </c>
      <c r="AF375" s="344"/>
      <c r="AG375" s="359">
        <f t="shared" ca="1" si="172"/>
        <v>-18.56731297233955</v>
      </c>
      <c r="AH375" s="357">
        <f t="shared" ca="1" si="173"/>
        <v>-9.0480033074194672</v>
      </c>
    </row>
    <row r="376" spans="1:34" x14ac:dyDescent="0.25">
      <c r="A376" s="402">
        <f t="shared" ca="1" si="151"/>
        <v>0.01</v>
      </c>
      <c r="B376" s="357">
        <f t="shared" ca="1" si="152"/>
        <v>3.7199999999999647</v>
      </c>
      <c r="C376" s="342"/>
      <c r="D376" s="359">
        <f t="shared" ca="1" si="153"/>
        <v>-2.1824045161030989</v>
      </c>
      <c r="E376" s="360">
        <f t="shared" ca="1" si="154"/>
        <v>-18.569130359704538</v>
      </c>
      <c r="F376" s="357">
        <f t="shared" ca="1" si="155"/>
        <v>18.696938032405413</v>
      </c>
      <c r="G376" s="359">
        <f t="shared" ca="1" si="156"/>
        <v>41.391327082556181</v>
      </c>
      <c r="H376" s="360">
        <f t="shared" ca="1" si="157"/>
        <v>166.02693640005819</v>
      </c>
      <c r="I376" s="357">
        <f t="shared" ca="1" si="158"/>
        <v>171.10869518538243</v>
      </c>
      <c r="J376" s="359">
        <f t="shared" ca="1" si="159"/>
        <v>93.518666856197285</v>
      </c>
      <c r="K376" s="360">
        <f t="shared" ca="1" si="160"/>
        <v>410.19254206835433</v>
      </c>
      <c r="L376" s="357">
        <f t="shared" ca="1" si="145"/>
        <v>420.71803220097308</v>
      </c>
      <c r="M376" s="359">
        <f t="shared" ca="1" si="161"/>
        <v>1.3264719919610473</v>
      </c>
      <c r="N376" s="357">
        <f t="shared" ca="1" si="162"/>
        <v>76.001246781679271</v>
      </c>
      <c r="O376" s="343"/>
      <c r="P376" s="363">
        <f t="shared" ca="1" si="163"/>
        <v>23</v>
      </c>
      <c r="Q376" s="357">
        <f t="shared" ca="1" si="164"/>
        <v>0</v>
      </c>
      <c r="R376" s="359">
        <f t="shared" ca="1" si="165"/>
        <v>0</v>
      </c>
      <c r="S376" s="360">
        <f t="shared" ca="1" si="166"/>
        <v>8.6519999999999992</v>
      </c>
      <c r="T376" s="357">
        <f t="shared" ca="1" si="146"/>
        <v>84.87612</v>
      </c>
      <c r="U376" s="364">
        <f t="shared" ca="1" si="147"/>
        <v>0</v>
      </c>
      <c r="V376" s="359">
        <f t="shared" ca="1" si="148"/>
        <v>1.175761281355084</v>
      </c>
      <c r="W376" s="357">
        <f t="shared" ca="1" si="149"/>
        <v>77.918921263763124</v>
      </c>
      <c r="X376" s="343"/>
      <c r="Y376" s="367" t="str">
        <f t="shared" ca="1" si="167"/>
        <v/>
      </c>
      <c r="Z376" s="368" t="str">
        <f t="shared" ca="1" si="168"/>
        <v/>
      </c>
      <c r="AA376" s="369" t="str">
        <f t="shared" ca="1" si="169"/>
        <v/>
      </c>
      <c r="AB376" s="344"/>
      <c r="AC376" s="363" t="e">
        <f t="shared" ca="1" si="170"/>
        <v>#N/A</v>
      </c>
      <c r="AD376" s="376" t="e">
        <f t="shared" ca="1" si="171"/>
        <v>#N/A</v>
      </c>
      <c r="AE376" s="377">
        <f t="shared" ca="1" si="150"/>
        <v>410.19254206835433</v>
      </c>
      <c r="AF376" s="344"/>
      <c r="AG376" s="359">
        <f t="shared" ca="1" si="172"/>
        <v>-18.545899858192797</v>
      </c>
      <c r="AH376" s="357">
        <f t="shared" ca="1" si="173"/>
        <v>-9.0269183074959187</v>
      </c>
    </row>
    <row r="377" spans="1:34" x14ac:dyDescent="0.25">
      <c r="A377" s="402">
        <f t="shared" ca="1" si="151"/>
        <v>0.01</v>
      </c>
      <c r="B377" s="357">
        <f t="shared" ca="1" si="152"/>
        <v>3.7299999999999645</v>
      </c>
      <c r="C377" s="342"/>
      <c r="D377" s="359">
        <f t="shared" ca="1" si="153"/>
        <v>-2.1785307380274634</v>
      </c>
      <c r="E377" s="360">
        <f t="shared" ca="1" si="154"/>
        <v>-18.548419610626325</v>
      </c>
      <c r="F377" s="357">
        <f t="shared" ca="1" si="155"/>
        <v>18.675916743988708</v>
      </c>
      <c r="G377" s="359">
        <f t="shared" ca="1" si="156"/>
        <v>41.369541775175904</v>
      </c>
      <c r="H377" s="360">
        <f t="shared" ca="1" si="157"/>
        <v>165.84145220395192</v>
      </c>
      <c r="I377" s="357">
        <f t="shared" ca="1" si="158"/>
        <v>170.92345145065289</v>
      </c>
      <c r="J377" s="359">
        <f t="shared" ca="1" si="159"/>
        <v>93.932471200485949</v>
      </c>
      <c r="K377" s="360">
        <f t="shared" ca="1" si="160"/>
        <v>411.85188401137435</v>
      </c>
      <c r="L377" s="357">
        <f t="shared" ca="1" si="145"/>
        <v>422.42784414565841</v>
      </c>
      <c r="M377" s="359">
        <f t="shared" ca="1" si="161"/>
        <v>1.326333155151133</v>
      </c>
      <c r="N377" s="357">
        <f t="shared" ca="1" si="162"/>
        <v>75.993292018430125</v>
      </c>
      <c r="O377" s="343"/>
      <c r="P377" s="363">
        <f t="shared" ca="1" si="163"/>
        <v>23</v>
      </c>
      <c r="Q377" s="357">
        <f t="shared" ca="1" si="164"/>
        <v>0</v>
      </c>
      <c r="R377" s="359">
        <f t="shared" ca="1" si="165"/>
        <v>0</v>
      </c>
      <c r="S377" s="360">
        <f t="shared" ca="1" si="166"/>
        <v>8.6519999999999992</v>
      </c>
      <c r="T377" s="357">
        <f t="shared" ca="1" si="146"/>
        <v>84.87612</v>
      </c>
      <c r="U377" s="364">
        <f t="shared" ca="1" si="147"/>
        <v>0</v>
      </c>
      <c r="V377" s="359">
        <f t="shared" ca="1" si="148"/>
        <v>1.1755661161191235</v>
      </c>
      <c r="W377" s="357">
        <f t="shared" ca="1" si="149"/>
        <v>77.737395395174659</v>
      </c>
      <c r="X377" s="343"/>
      <c r="Y377" s="367" t="str">
        <f t="shared" ca="1" si="167"/>
        <v/>
      </c>
      <c r="Z377" s="368" t="str">
        <f t="shared" ca="1" si="168"/>
        <v/>
      </c>
      <c r="AA377" s="369" t="str">
        <f t="shared" ca="1" si="169"/>
        <v/>
      </c>
      <c r="AB377" s="344"/>
      <c r="AC377" s="363" t="e">
        <f t="shared" ca="1" si="170"/>
        <v>#N/A</v>
      </c>
      <c r="AD377" s="376" t="e">
        <f t="shared" ca="1" si="171"/>
        <v>#N/A</v>
      </c>
      <c r="AE377" s="377">
        <f t="shared" ca="1" si="150"/>
        <v>411.85188401137435</v>
      </c>
      <c r="AF377" s="344"/>
      <c r="AG377" s="359">
        <f t="shared" ca="1" si="172"/>
        <v>-18.524538206068499</v>
      </c>
      <c r="AH377" s="357">
        <f t="shared" ca="1" si="173"/>
        <v>-9.0058854904950447</v>
      </c>
    </row>
    <row r="378" spans="1:34" x14ac:dyDescent="0.25">
      <c r="A378" s="402">
        <f t="shared" ca="1" si="151"/>
        <v>0.01</v>
      </c>
      <c r="B378" s="357">
        <f t="shared" ca="1" si="152"/>
        <v>3.7399999999999642</v>
      </c>
      <c r="C378" s="342"/>
      <c r="D378" s="359">
        <f t="shared" ca="1" si="153"/>
        <v>-2.1746658334297493</v>
      </c>
      <c r="E378" s="360">
        <f t="shared" ca="1" si="154"/>
        <v>-18.527760081421</v>
      </c>
      <c r="F378" s="357">
        <f t="shared" ca="1" si="155"/>
        <v>18.65494747035714</v>
      </c>
      <c r="G378" s="359">
        <f t="shared" ca="1" si="156"/>
        <v>41.34779511684161</v>
      </c>
      <c r="H378" s="360">
        <f t="shared" ca="1" si="157"/>
        <v>165.65617460313771</v>
      </c>
      <c r="I378" s="357">
        <f t="shared" ca="1" si="158"/>
        <v>170.73842082311046</v>
      </c>
      <c r="J378" s="359">
        <f t="shared" ca="1" si="159"/>
        <v>94.346057884946035</v>
      </c>
      <c r="K378" s="360">
        <f t="shared" ca="1" si="160"/>
        <v>413.50937214540983</v>
      </c>
      <c r="L378" s="357">
        <f t="shared" ca="1" si="145"/>
        <v>424.13580312267982</v>
      </c>
      <c r="M378" s="359">
        <f t="shared" ca="1" si="161"/>
        <v>1.3261940904825611</v>
      </c>
      <c r="N378" s="357">
        <f t="shared" ca="1" si="162"/>
        <v>75.985324199841571</v>
      </c>
      <c r="O378" s="343"/>
      <c r="P378" s="363">
        <f t="shared" ca="1" si="163"/>
        <v>23</v>
      </c>
      <c r="Q378" s="357">
        <f t="shared" ca="1" si="164"/>
        <v>0</v>
      </c>
      <c r="R378" s="359">
        <f t="shared" ca="1" si="165"/>
        <v>0</v>
      </c>
      <c r="S378" s="360">
        <f t="shared" ca="1" si="166"/>
        <v>8.6519999999999992</v>
      </c>
      <c r="T378" s="357">
        <f t="shared" ca="1" si="146"/>
        <v>84.87612</v>
      </c>
      <c r="U378" s="364">
        <f t="shared" ca="1" si="147"/>
        <v>0</v>
      </c>
      <c r="V378" s="359">
        <f t="shared" ca="1" si="148"/>
        <v>1.1753712005962755</v>
      </c>
      <c r="W378" s="357">
        <f t="shared" ca="1" si="149"/>
        <v>77.556318173896884</v>
      </c>
      <c r="X378" s="343"/>
      <c r="Y378" s="367" t="str">
        <f t="shared" ca="1" si="167"/>
        <v/>
      </c>
      <c r="Z378" s="368" t="str">
        <f t="shared" ca="1" si="168"/>
        <v/>
      </c>
      <c r="AA378" s="369" t="str">
        <f t="shared" ca="1" si="169"/>
        <v/>
      </c>
      <c r="AB378" s="344"/>
      <c r="AC378" s="363" t="e">
        <f t="shared" ca="1" si="170"/>
        <v>#N/A</v>
      </c>
      <c r="AD378" s="376" t="e">
        <f t="shared" ca="1" si="171"/>
        <v>#N/A</v>
      </c>
      <c r="AE378" s="377">
        <f t="shared" ca="1" si="150"/>
        <v>413.50937214540983</v>
      </c>
      <c r="AF378" s="344"/>
      <c r="AG378" s="359">
        <f t="shared" ca="1" si="172"/>
        <v>-18.503227849605356</v>
      </c>
      <c r="AH378" s="357">
        <f t="shared" ca="1" si="173"/>
        <v>-8.9849046919989206</v>
      </c>
    </row>
    <row r="379" spans="1:34" x14ac:dyDescent="0.25">
      <c r="A379" s="402">
        <f t="shared" ca="1" si="151"/>
        <v>0.01</v>
      </c>
      <c r="B379" s="357">
        <f t="shared" ca="1" si="152"/>
        <v>3.749999999999964</v>
      </c>
      <c r="C379" s="342"/>
      <c r="D379" s="359">
        <f t="shared" ca="1" si="153"/>
        <v>-2.1708097737131609</v>
      </c>
      <c r="E379" s="360">
        <f t="shared" ca="1" si="154"/>
        <v>-18.507151610823172</v>
      </c>
      <c r="F379" s="357">
        <f t="shared" ca="1" si="155"/>
        <v>18.634030047728359</v>
      </c>
      <c r="G379" s="359">
        <f t="shared" ca="1" si="156"/>
        <v>41.326087019104477</v>
      </c>
      <c r="H379" s="360">
        <f t="shared" ca="1" si="157"/>
        <v>165.47110308702949</v>
      </c>
      <c r="I379" s="357">
        <f t="shared" ca="1" si="158"/>
        <v>170.55360279146535</v>
      </c>
      <c r="J379" s="359">
        <f t="shared" ca="1" si="159"/>
        <v>94.75942729562577</v>
      </c>
      <c r="K379" s="360">
        <f t="shared" ca="1" si="160"/>
        <v>415.16500853386066</v>
      </c>
      <c r="L379" s="357">
        <f t="shared" ca="1" si="145"/>
        <v>425.84191124443771</v>
      </c>
      <c r="M379" s="359">
        <f t="shared" ca="1" si="161"/>
        <v>1.326054797510084</v>
      </c>
      <c r="N379" s="357">
        <f t="shared" ca="1" si="162"/>
        <v>75.977343300402808</v>
      </c>
      <c r="O379" s="343"/>
      <c r="P379" s="363">
        <f t="shared" ca="1" si="163"/>
        <v>23</v>
      </c>
      <c r="Q379" s="357">
        <f t="shared" ca="1" si="164"/>
        <v>0</v>
      </c>
      <c r="R379" s="359">
        <f t="shared" ca="1" si="165"/>
        <v>0</v>
      </c>
      <c r="S379" s="360">
        <f t="shared" ca="1" si="166"/>
        <v>8.6519999999999992</v>
      </c>
      <c r="T379" s="357">
        <f t="shared" ca="1" si="146"/>
        <v>84.87612</v>
      </c>
      <c r="U379" s="364">
        <f t="shared" ca="1" si="147"/>
        <v>0</v>
      </c>
      <c r="V379" s="359">
        <f t="shared" ca="1" si="148"/>
        <v>1.1751765344300291</v>
      </c>
      <c r="W379" s="357">
        <f t="shared" ca="1" si="149"/>
        <v>77.375688188860963</v>
      </c>
      <c r="X379" s="343"/>
      <c r="Y379" s="367" t="str">
        <f t="shared" ca="1" si="167"/>
        <v/>
      </c>
      <c r="Z379" s="368" t="str">
        <f t="shared" ca="1" si="168"/>
        <v/>
      </c>
      <c r="AA379" s="369" t="str">
        <f t="shared" ca="1" si="169"/>
        <v/>
      </c>
      <c r="AB379" s="344"/>
      <c r="AC379" s="363" t="e">
        <f t="shared" ca="1" si="170"/>
        <v>#N/A</v>
      </c>
      <c r="AD379" s="376" t="e">
        <f t="shared" ca="1" si="171"/>
        <v>#N/A</v>
      </c>
      <c r="AE379" s="377">
        <f t="shared" ca="1" si="150"/>
        <v>415.16500853386066</v>
      </c>
      <c r="AF379" s="344"/>
      <c r="AG379" s="359">
        <f t="shared" ca="1" si="172"/>
        <v>-18.481968623100133</v>
      </c>
      <c r="AH379" s="357">
        <f t="shared" ca="1" si="173"/>
        <v>-8.9639757482543789</v>
      </c>
    </row>
    <row r="380" spans="1:34" x14ac:dyDescent="0.25">
      <c r="A380" s="402">
        <f t="shared" ca="1" si="151"/>
        <v>0.01</v>
      </c>
      <c r="B380" s="357">
        <f t="shared" ca="1" si="152"/>
        <v>3.7599999999999638</v>
      </c>
      <c r="C380" s="342"/>
      <c r="D380" s="359">
        <f t="shared" ca="1" si="153"/>
        <v>-2.1669625303959221</v>
      </c>
      <c r="E380" s="360">
        <f t="shared" ca="1" si="154"/>
        <v>-18.486594038218819</v>
      </c>
      <c r="F380" s="357">
        <f t="shared" ca="1" si="155"/>
        <v>18.613164312981485</v>
      </c>
      <c r="G380" s="359">
        <f t="shared" ca="1" si="156"/>
        <v>41.30441739380052</v>
      </c>
      <c r="H380" s="360">
        <f t="shared" ca="1" si="157"/>
        <v>165.2862371466473</v>
      </c>
      <c r="I380" s="357">
        <f t="shared" ca="1" si="158"/>
        <v>170.36899684607823</v>
      </c>
      <c r="J380" s="359">
        <f t="shared" ca="1" si="159"/>
        <v>95.172579817690291</v>
      </c>
      <c r="K380" s="360">
        <f t="shared" ca="1" si="160"/>
        <v>416.81879523502903</v>
      </c>
      <c r="L380" s="357">
        <f t="shared" ca="1" si="145"/>
        <v>427.54617061825695</v>
      </c>
      <c r="M380" s="359">
        <f t="shared" ca="1" si="161"/>
        <v>1.3259152757872088</v>
      </c>
      <c r="N380" s="357">
        <f t="shared" ca="1" si="162"/>
        <v>75.969349294531654</v>
      </c>
      <c r="O380" s="343"/>
      <c r="P380" s="363">
        <f t="shared" ca="1" si="163"/>
        <v>23</v>
      </c>
      <c r="Q380" s="357">
        <f t="shared" ca="1" si="164"/>
        <v>0</v>
      </c>
      <c r="R380" s="359">
        <f t="shared" ca="1" si="165"/>
        <v>0</v>
      </c>
      <c r="S380" s="360">
        <f t="shared" ca="1" si="166"/>
        <v>8.6519999999999992</v>
      </c>
      <c r="T380" s="357">
        <f t="shared" ca="1" si="146"/>
        <v>84.87612</v>
      </c>
      <c r="U380" s="364">
        <f t="shared" ca="1" si="147"/>
        <v>0</v>
      </c>
      <c r="V380" s="359">
        <f t="shared" ca="1" si="148"/>
        <v>1.1749821172648038</v>
      </c>
      <c r="W380" s="357">
        <f t="shared" ca="1" si="149"/>
        <v>77.195504034693897</v>
      </c>
      <c r="X380" s="343"/>
      <c r="Y380" s="367" t="str">
        <f t="shared" ca="1" si="167"/>
        <v/>
      </c>
      <c r="Z380" s="368" t="str">
        <f t="shared" ca="1" si="168"/>
        <v/>
      </c>
      <c r="AA380" s="369" t="str">
        <f t="shared" ca="1" si="169"/>
        <v/>
      </c>
      <c r="AB380" s="344"/>
      <c r="AC380" s="363" t="e">
        <f t="shared" ca="1" si="170"/>
        <v>#N/A</v>
      </c>
      <c r="AD380" s="376" t="e">
        <f t="shared" ca="1" si="171"/>
        <v>#N/A</v>
      </c>
      <c r="AE380" s="377">
        <f t="shared" ca="1" si="150"/>
        <v>416.81879523502903</v>
      </c>
      <c r="AF380" s="344"/>
      <c r="AG380" s="359">
        <f t="shared" ca="1" si="172"/>
        <v>-18.460760361504413</v>
      </c>
      <c r="AH380" s="357">
        <f t="shared" ca="1" si="173"/>
        <v>-8.9430984961697835</v>
      </c>
    </row>
    <row r="381" spans="1:34" x14ac:dyDescent="0.25">
      <c r="A381" s="402">
        <f t="shared" ca="1" si="151"/>
        <v>0.01</v>
      </c>
      <c r="B381" s="357">
        <f t="shared" ca="1" si="152"/>
        <v>3.7699999999999636</v>
      </c>
      <c r="C381" s="342"/>
      <c r="D381" s="359">
        <f t="shared" ca="1" si="153"/>
        <v>-2.1631240751107175</v>
      </c>
      <c r="E381" s="360">
        <f t="shared" ca="1" si="154"/>
        <v>-18.466087203642182</v>
      </c>
      <c r="F381" s="357">
        <f t="shared" ca="1" si="155"/>
        <v>18.592350103653953</v>
      </c>
      <c r="G381" s="359">
        <f t="shared" ca="1" si="156"/>
        <v>41.282786153049415</v>
      </c>
      <c r="H381" s="360">
        <f t="shared" ca="1" si="157"/>
        <v>165.10157627461086</v>
      </c>
      <c r="I381" s="357">
        <f t="shared" ca="1" si="158"/>
        <v>170.18460247895388</v>
      </c>
      <c r="J381" s="359">
        <f t="shared" ca="1" si="159"/>
        <v>95.585515835424545</v>
      </c>
      <c r="K381" s="360">
        <f t="shared" ca="1" si="160"/>
        <v>418.47073430213533</v>
      </c>
      <c r="L381" s="357">
        <f t="shared" ca="1" si="145"/>
        <v>429.2485833464014</v>
      </c>
      <c r="M381" s="359">
        <f t="shared" ca="1" si="161"/>
        <v>1.3257755248661929</v>
      </c>
      <c r="N381" s="357">
        <f t="shared" ca="1" si="162"/>
        <v>75.961342156574375</v>
      </c>
      <c r="O381" s="343"/>
      <c r="P381" s="363">
        <f t="shared" ca="1" si="163"/>
        <v>23</v>
      </c>
      <c r="Q381" s="357">
        <f t="shared" ca="1" si="164"/>
        <v>0</v>
      </c>
      <c r="R381" s="359">
        <f t="shared" ca="1" si="165"/>
        <v>0</v>
      </c>
      <c r="S381" s="360">
        <f t="shared" ca="1" si="166"/>
        <v>8.6519999999999992</v>
      </c>
      <c r="T381" s="357">
        <f t="shared" ca="1" si="146"/>
        <v>84.87612</v>
      </c>
      <c r="U381" s="364">
        <f t="shared" ca="1" si="147"/>
        <v>0</v>
      </c>
      <c r="V381" s="359">
        <f t="shared" ca="1" si="148"/>
        <v>1.1747879487459434</v>
      </c>
      <c r="W381" s="357">
        <f t="shared" ca="1" si="149"/>
        <v>77.015764311690916</v>
      </c>
      <c r="X381" s="343"/>
      <c r="Y381" s="367" t="str">
        <f t="shared" ca="1" si="167"/>
        <v/>
      </c>
      <c r="Z381" s="368" t="str">
        <f t="shared" ca="1" si="168"/>
        <v/>
      </c>
      <c r="AA381" s="369" t="str">
        <f t="shared" ca="1" si="169"/>
        <v/>
      </c>
      <c r="AB381" s="344"/>
      <c r="AC381" s="363" t="e">
        <f t="shared" ca="1" si="170"/>
        <v>#N/A</v>
      </c>
      <c r="AD381" s="376" t="e">
        <f t="shared" ca="1" si="171"/>
        <v>#N/A</v>
      </c>
      <c r="AE381" s="377">
        <f t="shared" ca="1" si="150"/>
        <v>418.47073430213533</v>
      </c>
      <c r="AF381" s="344"/>
      <c r="AG381" s="359">
        <f t="shared" ca="1" si="172"/>
        <v>-18.439602900421363</v>
      </c>
      <c r="AH381" s="357">
        <f t="shared" ca="1" si="173"/>
        <v>-8.9222727733118248</v>
      </c>
    </row>
    <row r="382" spans="1:34" x14ac:dyDescent="0.25">
      <c r="A382" s="402">
        <f t="shared" ca="1" si="151"/>
        <v>0.01</v>
      </c>
      <c r="B382" s="357">
        <f t="shared" ca="1" si="152"/>
        <v>3.7799999999999634</v>
      </c>
      <c r="C382" s="342"/>
      <c r="D382" s="359">
        <f t="shared" ca="1" si="153"/>
        <v>-2.1592943796041366</v>
      </c>
      <c r="E382" s="360">
        <f t="shared" ca="1" si="154"/>
        <v>-18.445630947772585</v>
      </c>
      <c r="F382" s="357">
        <f t="shared" ca="1" si="155"/>
        <v>18.571587257938287</v>
      </c>
      <c r="G382" s="359">
        <f t="shared" ca="1" si="156"/>
        <v>41.261193209253371</v>
      </c>
      <c r="H382" s="360">
        <f t="shared" ca="1" si="157"/>
        <v>164.91711996513314</v>
      </c>
      <c r="I382" s="357">
        <f t="shared" ca="1" si="158"/>
        <v>170.00041918373452</v>
      </c>
      <c r="J382" s="359">
        <f t="shared" ca="1" si="159"/>
        <v>95.998235732236054</v>
      </c>
      <c r="K382" s="360">
        <f t="shared" ca="1" si="160"/>
        <v>420.12082778333405</v>
      </c>
      <c r="L382" s="357">
        <f t="shared" ca="1" si="145"/>
        <v>430.94915152608877</v>
      </c>
      <c r="M382" s="359">
        <f t="shared" ca="1" si="161"/>
        <v>1.3256355442980392</v>
      </c>
      <c r="N382" s="357">
        <f t="shared" ca="1" si="162"/>
        <v>75.953321860805332</v>
      </c>
      <c r="O382" s="343"/>
      <c r="P382" s="363">
        <f t="shared" ca="1" si="163"/>
        <v>23</v>
      </c>
      <c r="Q382" s="357">
        <f t="shared" ca="1" si="164"/>
        <v>0</v>
      </c>
      <c r="R382" s="359">
        <f t="shared" ca="1" si="165"/>
        <v>0</v>
      </c>
      <c r="S382" s="360">
        <f t="shared" ca="1" si="166"/>
        <v>8.6519999999999992</v>
      </c>
      <c r="T382" s="357">
        <f t="shared" ca="1" si="146"/>
        <v>84.87612</v>
      </c>
      <c r="U382" s="364">
        <f t="shared" ca="1" si="147"/>
        <v>0</v>
      </c>
      <c r="V382" s="359">
        <f t="shared" ca="1" si="148"/>
        <v>1.1745940285197174</v>
      </c>
      <c r="W382" s="357">
        <f t="shared" ca="1" si="149"/>
        <v>76.836467625788245</v>
      </c>
      <c r="X382" s="343"/>
      <c r="Y382" s="367" t="str">
        <f t="shared" ca="1" si="167"/>
        <v/>
      </c>
      <c r="Z382" s="368" t="str">
        <f t="shared" ca="1" si="168"/>
        <v/>
      </c>
      <c r="AA382" s="369" t="str">
        <f t="shared" ca="1" si="169"/>
        <v/>
      </c>
      <c r="AB382" s="344"/>
      <c r="AC382" s="363" t="e">
        <f t="shared" ca="1" si="170"/>
        <v>#N/A</v>
      </c>
      <c r="AD382" s="376" t="e">
        <f t="shared" ca="1" si="171"/>
        <v>#N/A</v>
      </c>
      <c r="AE382" s="377">
        <f t="shared" ca="1" si="150"/>
        <v>420.12082778333405</v>
      </c>
      <c r="AF382" s="344"/>
      <c r="AG382" s="359">
        <f t="shared" ca="1" si="172"/>
        <v>-18.418496076102507</v>
      </c>
      <c r="AH382" s="357">
        <f t="shared" ca="1" si="173"/>
        <v>-8.9014984179023262</v>
      </c>
    </row>
    <row r="383" spans="1:34" x14ac:dyDescent="0.25">
      <c r="A383" s="402">
        <f t="shared" ca="1" si="151"/>
        <v>0.01</v>
      </c>
      <c r="B383" s="357">
        <f t="shared" ca="1" si="152"/>
        <v>3.7899999999999632</v>
      </c>
      <c r="C383" s="342"/>
      <c r="D383" s="359">
        <f t="shared" ca="1" si="153"/>
        <v>-2.155473415736135</v>
      </c>
      <c r="E383" s="360">
        <f t="shared" ca="1" si="154"/>
        <v>-18.425225111931361</v>
      </c>
      <c r="F383" s="357">
        <f t="shared" ca="1" si="155"/>
        <v>18.550875614678983</v>
      </c>
      <c r="G383" s="359">
        <f t="shared" ca="1" si="156"/>
        <v>41.239638475096008</v>
      </c>
      <c r="H383" s="360">
        <f t="shared" ca="1" si="157"/>
        <v>164.73286771401382</v>
      </c>
      <c r="I383" s="357">
        <f t="shared" ca="1" si="158"/>
        <v>169.81644645569344</v>
      </c>
      <c r="J383" s="359">
        <f t="shared" ca="1" si="159"/>
        <v>96.410739890657794</v>
      </c>
      <c r="K383" s="360">
        <f t="shared" ca="1" si="160"/>
        <v>421.76907772172979</v>
      </c>
      <c r="L383" s="357">
        <f t="shared" ca="1" si="145"/>
        <v>432.64787724950486</v>
      </c>
      <c r="M383" s="359">
        <f t="shared" ca="1" si="161"/>
        <v>1.3254953336324933</v>
      </c>
      <c r="N383" s="357">
        <f t="shared" ca="1" si="162"/>
        <v>75.94528838142682</v>
      </c>
      <c r="O383" s="343"/>
      <c r="P383" s="363">
        <f t="shared" ca="1" si="163"/>
        <v>23</v>
      </c>
      <c r="Q383" s="357">
        <f t="shared" ca="1" si="164"/>
        <v>0</v>
      </c>
      <c r="R383" s="359">
        <f t="shared" ca="1" si="165"/>
        <v>0</v>
      </c>
      <c r="S383" s="360">
        <f t="shared" ca="1" si="166"/>
        <v>8.6519999999999992</v>
      </c>
      <c r="T383" s="357">
        <f t="shared" ca="1" si="146"/>
        <v>84.87612</v>
      </c>
      <c r="U383" s="364">
        <f t="shared" ca="1" si="147"/>
        <v>0</v>
      </c>
      <c r="V383" s="359">
        <f t="shared" ca="1" si="148"/>
        <v>1.1744003562333145</v>
      </c>
      <c r="W383" s="357">
        <f t="shared" ca="1" si="149"/>
        <v>76.657612588535557</v>
      </c>
      <c r="X383" s="343"/>
      <c r="Y383" s="367" t="str">
        <f t="shared" ca="1" si="167"/>
        <v/>
      </c>
      <c r="Z383" s="368" t="str">
        <f t="shared" ca="1" si="168"/>
        <v/>
      </c>
      <c r="AA383" s="369" t="str">
        <f t="shared" ca="1" si="169"/>
        <v/>
      </c>
      <c r="AB383" s="344"/>
      <c r="AC383" s="363" t="e">
        <f t="shared" ca="1" si="170"/>
        <v>#N/A</v>
      </c>
      <c r="AD383" s="376" t="e">
        <f t="shared" ca="1" si="171"/>
        <v>#N/A</v>
      </c>
      <c r="AE383" s="377">
        <f t="shared" ca="1" si="150"/>
        <v>421.76907772172979</v>
      </c>
      <c r="AF383" s="344"/>
      <c r="AG383" s="359">
        <f t="shared" ca="1" si="172"/>
        <v>-18.397439725444567</v>
      </c>
      <c r="AH383" s="357">
        <f t="shared" ca="1" si="173"/>
        <v>-8.8807752688151016</v>
      </c>
    </row>
    <row r="384" spans="1:34" x14ac:dyDescent="0.25">
      <c r="A384" s="402">
        <f t="shared" ca="1" si="151"/>
        <v>0.01</v>
      </c>
      <c r="B384" s="357">
        <f t="shared" ca="1" si="152"/>
        <v>3.799999999999963</v>
      </c>
      <c r="C384" s="342"/>
      <c r="D384" s="359">
        <f t="shared" ca="1" si="153"/>
        <v>-2.1516611554794682</v>
      </c>
      <c r="E384" s="360">
        <f t="shared" ca="1" si="154"/>
        <v>-18.404869538078707</v>
      </c>
      <c r="F384" s="357">
        <f t="shared" ca="1" si="155"/>
        <v>18.530215013369293</v>
      </c>
      <c r="G384" s="359">
        <f t="shared" ca="1" si="156"/>
        <v>41.218121863541214</v>
      </c>
      <c r="H384" s="360">
        <f t="shared" ca="1" si="157"/>
        <v>164.54881901863303</v>
      </c>
      <c r="I384" s="357">
        <f t="shared" ca="1" si="158"/>
        <v>169.6326837917286</v>
      </c>
      <c r="J384" s="359">
        <f t="shared" ca="1" si="159"/>
        <v>96.823028692350974</v>
      </c>
      <c r="K384" s="360">
        <f t="shared" ca="1" si="160"/>
        <v>423.41548615539301</v>
      </c>
      <c r="L384" s="357">
        <f t="shared" ca="1" si="145"/>
        <v>434.34476260381871</v>
      </c>
      <c r="M384" s="359">
        <f t="shared" ca="1" si="161"/>
        <v>1.3253548924180383</v>
      </c>
      <c r="N384" s="357">
        <f t="shared" ca="1" si="162"/>
        <v>75.937241692568861</v>
      </c>
      <c r="O384" s="343"/>
      <c r="P384" s="363">
        <f t="shared" ca="1" si="163"/>
        <v>23</v>
      </c>
      <c r="Q384" s="357">
        <f t="shared" ca="1" si="164"/>
        <v>0</v>
      </c>
      <c r="R384" s="359">
        <f t="shared" ca="1" si="165"/>
        <v>0</v>
      </c>
      <c r="S384" s="360">
        <f t="shared" ca="1" si="166"/>
        <v>8.6519999999999992</v>
      </c>
      <c r="T384" s="357">
        <f t="shared" ca="1" si="146"/>
        <v>84.87612</v>
      </c>
      <c r="U384" s="364">
        <f t="shared" ca="1" si="147"/>
        <v>0</v>
      </c>
      <c r="V384" s="359">
        <f t="shared" ca="1" si="148"/>
        <v>1.1742069315348393</v>
      </c>
      <c r="W384" s="357">
        <f t="shared" ca="1" si="149"/>
        <v>76.479197817069021</v>
      </c>
      <c r="X384" s="343"/>
      <c r="Y384" s="367" t="str">
        <f t="shared" ca="1" si="167"/>
        <v/>
      </c>
      <c r="Z384" s="368" t="str">
        <f t="shared" ca="1" si="168"/>
        <v/>
      </c>
      <c r="AA384" s="369" t="str">
        <f t="shared" ca="1" si="169"/>
        <v/>
      </c>
      <c r="AB384" s="344"/>
      <c r="AC384" s="363" t="e">
        <f t="shared" ca="1" si="170"/>
        <v>#N/A</v>
      </c>
      <c r="AD384" s="376" t="e">
        <f t="shared" ca="1" si="171"/>
        <v>#N/A</v>
      </c>
      <c r="AE384" s="377">
        <f t="shared" ca="1" si="150"/>
        <v>423.41548615539301</v>
      </c>
      <c r="AF384" s="344"/>
      <c r="AG384" s="359">
        <f t="shared" ca="1" si="172"/>
        <v>-18.376433685986235</v>
      </c>
      <c r="AH384" s="357">
        <f t="shared" ca="1" si="173"/>
        <v>-8.8601031655727649</v>
      </c>
    </row>
    <row r="385" spans="1:34" x14ac:dyDescent="0.25">
      <c r="A385" s="402">
        <f t="shared" ca="1" si="151"/>
        <v>0.01</v>
      </c>
      <c r="B385" s="357">
        <f t="shared" ca="1" si="152"/>
        <v>3.8099999999999627</v>
      </c>
      <c r="C385" s="342"/>
      <c r="D385" s="359">
        <f t="shared" ca="1" si="153"/>
        <v>-2.1478575709191596</v>
      </c>
      <c r="E385" s="360">
        <f t="shared" ca="1" si="154"/>
        <v>-18.384564068810612</v>
      </c>
      <c r="F385" s="357">
        <f t="shared" ca="1" si="155"/>
        <v>18.509605294148141</v>
      </c>
      <c r="G385" s="359">
        <f t="shared" ca="1" si="156"/>
        <v>41.196643287832025</v>
      </c>
      <c r="H385" s="360">
        <f t="shared" ca="1" si="157"/>
        <v>164.36497337794492</v>
      </c>
      <c r="I385" s="357">
        <f t="shared" ca="1" si="158"/>
        <v>169.44913069035621</v>
      </c>
      <c r="J385" s="359">
        <f t="shared" ca="1" si="159"/>
        <v>97.235102518107837</v>
      </c>
      <c r="K385" s="360">
        <f t="shared" ca="1" si="160"/>
        <v>425.0600551173759</v>
      </c>
      <c r="L385" s="357">
        <f t="shared" ca="1" si="145"/>
        <v>436.03980967119685</v>
      </c>
      <c r="M385" s="359">
        <f t="shared" ca="1" si="161"/>
        <v>1.3252142202018908</v>
      </c>
      <c r="N385" s="357">
        <f t="shared" ca="1" si="162"/>
        <v>75.929181768288856</v>
      </c>
      <c r="O385" s="343"/>
      <c r="P385" s="363">
        <f t="shared" ca="1" si="163"/>
        <v>23</v>
      </c>
      <c r="Q385" s="357">
        <f t="shared" ca="1" si="164"/>
        <v>0</v>
      </c>
      <c r="R385" s="359">
        <f t="shared" ca="1" si="165"/>
        <v>0</v>
      </c>
      <c r="S385" s="360">
        <f t="shared" ca="1" si="166"/>
        <v>8.6519999999999992</v>
      </c>
      <c r="T385" s="357">
        <f t="shared" ca="1" si="146"/>
        <v>84.87612</v>
      </c>
      <c r="U385" s="364">
        <f t="shared" ca="1" si="147"/>
        <v>0</v>
      </c>
      <c r="V385" s="359">
        <f t="shared" ca="1" si="148"/>
        <v>1.1740137540733127</v>
      </c>
      <c r="W385" s="357">
        <f t="shared" ca="1" si="149"/>
        <v>76.30122193408441</v>
      </c>
      <c r="X385" s="343"/>
      <c r="Y385" s="367" t="str">
        <f t="shared" ca="1" si="167"/>
        <v/>
      </c>
      <c r="Z385" s="368" t="str">
        <f t="shared" ca="1" si="168"/>
        <v/>
      </c>
      <c r="AA385" s="369" t="str">
        <f t="shared" ca="1" si="169"/>
        <v/>
      </c>
      <c r="AB385" s="344"/>
      <c r="AC385" s="363" t="e">
        <f t="shared" ca="1" si="170"/>
        <v>#N/A</v>
      </c>
      <c r="AD385" s="376" t="e">
        <f t="shared" ca="1" si="171"/>
        <v>#N/A</v>
      </c>
      <c r="AE385" s="377">
        <f t="shared" ca="1" si="150"/>
        <v>425.0600551173759</v>
      </c>
      <c r="AF385" s="344"/>
      <c r="AG385" s="359">
        <f t="shared" ca="1" si="172"/>
        <v>-18.355477795905053</v>
      </c>
      <c r="AH385" s="357">
        <f t="shared" ca="1" si="173"/>
        <v>-8.8394819483436233</v>
      </c>
    </row>
    <row r="386" spans="1:34" x14ac:dyDescent="0.25">
      <c r="A386" s="402">
        <f t="shared" ca="1" si="151"/>
        <v>0.01</v>
      </c>
      <c r="B386" s="357">
        <f t="shared" ca="1" si="152"/>
        <v>3.8199999999999625</v>
      </c>
      <c r="C386" s="342"/>
      <c r="D386" s="359">
        <f t="shared" ca="1" si="153"/>
        <v>-2.1440626342519589</v>
      </c>
      <c r="E386" s="360">
        <f t="shared" ca="1" si="154"/>
        <v>-18.364308547355805</v>
      </c>
      <c r="F386" s="357">
        <f t="shared" ca="1" si="155"/>
        <v>18.489046297797</v>
      </c>
      <c r="G386" s="359">
        <f t="shared" ca="1" si="156"/>
        <v>41.175202661489507</v>
      </c>
      <c r="H386" s="360">
        <f t="shared" ca="1" si="157"/>
        <v>164.18133029247136</v>
      </c>
      <c r="I386" s="357">
        <f t="shared" ca="1" si="158"/>
        <v>169.26578665170439</v>
      </c>
      <c r="J386" s="359">
        <f t="shared" ca="1" si="159"/>
        <v>97.646961747854448</v>
      </c>
      <c r="K386" s="360">
        <f t="shared" ca="1" si="160"/>
        <v>426.70278663572799</v>
      </c>
      <c r="L386" s="357">
        <f t="shared" ca="1" si="145"/>
        <v>437.73302052881792</v>
      </c>
      <c r="M386" s="359">
        <f t="shared" ca="1" si="161"/>
        <v>1.3250733165299977</v>
      </c>
      <c r="N386" s="357">
        <f t="shared" ca="1" si="162"/>
        <v>75.921108582571492</v>
      </c>
      <c r="O386" s="343"/>
      <c r="P386" s="363">
        <f t="shared" ca="1" si="163"/>
        <v>23</v>
      </c>
      <c r="Q386" s="357">
        <f t="shared" ca="1" si="164"/>
        <v>0</v>
      </c>
      <c r="R386" s="359">
        <f t="shared" ca="1" si="165"/>
        <v>0</v>
      </c>
      <c r="S386" s="360">
        <f t="shared" ca="1" si="166"/>
        <v>8.6519999999999992</v>
      </c>
      <c r="T386" s="357">
        <f t="shared" ca="1" si="146"/>
        <v>84.87612</v>
      </c>
      <c r="U386" s="364">
        <f t="shared" ca="1" si="147"/>
        <v>0</v>
      </c>
      <c r="V386" s="359">
        <f t="shared" ca="1" si="148"/>
        <v>1.1738208234986656</v>
      </c>
      <c r="W386" s="357">
        <f t="shared" ca="1" si="149"/>
        <v>76.123683567810161</v>
      </c>
      <c r="X386" s="343"/>
      <c r="Y386" s="367" t="str">
        <f t="shared" ca="1" si="167"/>
        <v/>
      </c>
      <c r="Z386" s="368" t="str">
        <f t="shared" ca="1" si="168"/>
        <v/>
      </c>
      <c r="AA386" s="369" t="str">
        <f t="shared" ca="1" si="169"/>
        <v/>
      </c>
      <c r="AB386" s="344"/>
      <c r="AC386" s="363" t="e">
        <f t="shared" ca="1" si="170"/>
        <v>#N/A</v>
      </c>
      <c r="AD386" s="376" t="e">
        <f t="shared" ca="1" si="171"/>
        <v>#N/A</v>
      </c>
      <c r="AE386" s="377">
        <f t="shared" ca="1" si="150"/>
        <v>426.70278663572799</v>
      </c>
      <c r="AF386" s="344"/>
      <c r="AG386" s="359">
        <f t="shared" ca="1" si="172"/>
        <v>-18.334571894014239</v>
      </c>
      <c r="AH386" s="357">
        <f t="shared" ca="1" si="173"/>
        <v>-8.8189114579385599</v>
      </c>
    </row>
    <row r="387" spans="1:34" x14ac:dyDescent="0.25">
      <c r="A387" s="402">
        <f t="shared" ca="1" si="151"/>
        <v>0.01</v>
      </c>
      <c r="B387" s="357">
        <f t="shared" ca="1" si="152"/>
        <v>3.8299999999999623</v>
      </c>
      <c r="C387" s="342"/>
      <c r="D387" s="359">
        <f t="shared" ca="1" si="153"/>
        <v>-2.1402763177857915</v>
      </c>
      <c r="E387" s="360">
        <f t="shared" ca="1" si="154"/>
        <v>-18.344102817572672</v>
      </c>
      <c r="F387" s="357">
        <f t="shared" ca="1" si="155"/>
        <v>18.468537865736753</v>
      </c>
      <c r="G387" s="359">
        <f t="shared" ca="1" si="156"/>
        <v>41.153799898311647</v>
      </c>
      <c r="H387" s="360">
        <f t="shared" ca="1" si="157"/>
        <v>163.99788926429562</v>
      </c>
      <c r="I387" s="357">
        <f t="shared" ca="1" si="158"/>
        <v>169.08265117750682</v>
      </c>
      <c r="J387" s="359">
        <f t="shared" ca="1" si="159"/>
        <v>98.058606760653447</v>
      </c>
      <c r="K387" s="360">
        <f t="shared" ca="1" si="160"/>
        <v>428.3436827335118</v>
      </c>
      <c r="L387" s="357">
        <f t="shared" ca="1" si="145"/>
        <v>439.42439724888726</v>
      </c>
      <c r="M387" s="359">
        <f t="shared" ca="1" si="161"/>
        <v>1.3249321809470305</v>
      </c>
      <c r="N387" s="357">
        <f t="shared" ca="1" si="162"/>
        <v>75.913022109328352</v>
      </c>
      <c r="O387" s="343"/>
      <c r="P387" s="363">
        <f t="shared" ca="1" si="163"/>
        <v>23</v>
      </c>
      <c r="Q387" s="357">
        <f t="shared" ca="1" si="164"/>
        <v>0</v>
      </c>
      <c r="R387" s="359">
        <f t="shared" ca="1" si="165"/>
        <v>0</v>
      </c>
      <c r="S387" s="360">
        <f t="shared" ca="1" si="166"/>
        <v>8.6519999999999992</v>
      </c>
      <c r="T387" s="357">
        <f t="shared" ca="1" si="146"/>
        <v>84.87612</v>
      </c>
      <c r="U387" s="364">
        <f t="shared" ca="1" si="147"/>
        <v>0</v>
      </c>
      <c r="V387" s="359">
        <f t="shared" ca="1" si="148"/>
        <v>1.1736281394617363</v>
      </c>
      <c r="W387" s="357">
        <f t="shared" ca="1" si="149"/>
        <v>75.946581351980768</v>
      </c>
      <c r="X387" s="343"/>
      <c r="Y387" s="367" t="str">
        <f t="shared" ca="1" si="167"/>
        <v/>
      </c>
      <c r="Z387" s="368" t="str">
        <f t="shared" ca="1" si="168"/>
        <v/>
      </c>
      <c r="AA387" s="369" t="str">
        <f t="shared" ca="1" si="169"/>
        <v/>
      </c>
      <c r="AB387" s="344"/>
      <c r="AC387" s="363" t="e">
        <f t="shared" ca="1" si="170"/>
        <v>#N/A</v>
      </c>
      <c r="AD387" s="376" t="e">
        <f t="shared" ca="1" si="171"/>
        <v>#N/A</v>
      </c>
      <c r="AE387" s="377">
        <f t="shared" ca="1" si="150"/>
        <v>428.3436827335118</v>
      </c>
      <c r="AF387" s="344"/>
      <c r="AG387" s="359">
        <f t="shared" ca="1" si="172"/>
        <v>-18.313715819759587</v>
      </c>
      <c r="AH387" s="357">
        <f t="shared" ca="1" si="173"/>
        <v>-8.7983915358079248</v>
      </c>
    </row>
    <row r="388" spans="1:34" x14ac:dyDescent="0.25">
      <c r="A388" s="402">
        <f t="shared" ca="1" si="151"/>
        <v>0.01</v>
      </c>
      <c r="B388" s="357">
        <f t="shared" ca="1" si="152"/>
        <v>3.8399999999999621</v>
      </c>
      <c r="C388" s="342"/>
      <c r="D388" s="359">
        <f t="shared" ca="1" si="153"/>
        <v>-2.1364985939392369</v>
      </c>
      <c r="E388" s="360">
        <f t="shared" ca="1" si="154"/>
        <v>-18.323946723946257</v>
      </c>
      <c r="F388" s="357">
        <f t="shared" ca="1" si="155"/>
        <v>18.448079840024683</v>
      </c>
      <c r="G388" s="359">
        <f t="shared" ca="1" si="156"/>
        <v>41.132434912372254</v>
      </c>
      <c r="H388" s="360">
        <f t="shared" ca="1" si="157"/>
        <v>163.81464979705615</v>
      </c>
      <c r="I388" s="357">
        <f t="shared" ca="1" si="158"/>
        <v>168.89972377109646</v>
      </c>
      <c r="J388" s="359">
        <f t="shared" ca="1" si="159"/>
        <v>98.470037934706866</v>
      </c>
      <c r="K388" s="360">
        <f t="shared" ca="1" si="160"/>
        <v>429.98274542881853</v>
      </c>
      <c r="L388" s="357">
        <f t="shared" ref="L388:L451" ca="1" si="174">SQRT(pos_x^2+pos_z^2)</f>
        <v>441.11394189865132</v>
      </c>
      <c r="M388" s="359">
        <f t="shared" ca="1" si="161"/>
        <v>1.3247908129963823</v>
      </c>
      <c r="N388" s="357">
        <f t="shared" ca="1" si="162"/>
        <v>75.904922322397795</v>
      </c>
      <c r="O388" s="343"/>
      <c r="P388" s="363">
        <f t="shared" ca="1" si="163"/>
        <v>23</v>
      </c>
      <c r="Q388" s="357">
        <f t="shared" ca="1" si="164"/>
        <v>0</v>
      </c>
      <c r="R388" s="359">
        <f t="shared" ca="1" si="165"/>
        <v>0</v>
      </c>
      <c r="S388" s="360">
        <f t="shared" ca="1" si="166"/>
        <v>8.6519999999999992</v>
      </c>
      <c r="T388" s="357">
        <f t="shared" ref="T388:T451" ca="1" si="175">m*g</f>
        <v>84.87612</v>
      </c>
      <c r="U388" s="364">
        <f t="shared" ref="U388:U451" ca="1" si="176">IF(pos_xz&lt;L_rampe,Poids*COS(Beta),0)</f>
        <v>0</v>
      </c>
      <c r="V388" s="359">
        <f t="shared" ref="V388:V451" ca="1" si="177">Rho_moyen*(20000-Alt_rampe-pos_z)/(20000+Alt_rampe+pos_z)</f>
        <v>1.1734357016142702</v>
      </c>
      <c r="W388" s="357">
        <f t="shared" ref="W388:W451" ca="1" si="178">1/2*Rho*Sref*Cx*vit_xz^2</f>
        <v>75.769913925810386</v>
      </c>
      <c r="X388" s="343"/>
      <c r="Y388" s="367" t="str">
        <f t="shared" ca="1" si="167"/>
        <v/>
      </c>
      <c r="Z388" s="368" t="str">
        <f t="shared" ca="1" si="168"/>
        <v/>
      </c>
      <c r="AA388" s="369" t="str">
        <f t="shared" ca="1" si="169"/>
        <v/>
      </c>
      <c r="AB388" s="344"/>
      <c r="AC388" s="363" t="e">
        <f t="shared" ca="1" si="170"/>
        <v>#N/A</v>
      </c>
      <c r="AD388" s="376" t="e">
        <f t="shared" ca="1" si="171"/>
        <v>#N/A</v>
      </c>
      <c r="AE388" s="377">
        <f t="shared" ref="AE388:AE451" ca="1" si="179">IF(t&lt;T_para, pos_z, NA())</f>
        <v>429.98274542881853</v>
      </c>
      <c r="AF388" s="344"/>
      <c r="AG388" s="359">
        <f t="shared" ca="1" si="172"/>
        <v>-18.292909413216346</v>
      </c>
      <c r="AH388" s="357">
        <f t="shared" ca="1" si="173"/>
        <v>-8.7779220240384621</v>
      </c>
    </row>
    <row r="389" spans="1:34" x14ac:dyDescent="0.25">
      <c r="A389" s="402">
        <f t="shared" ref="A389:A452" ca="1" si="180">IF(B388+0.01&lt;=T_ini+ROUNDUP(Temps_fin_propu,0), 0.01, IF(K388&gt;0, 0.1, 0.0001))</f>
        <v>0.01</v>
      </c>
      <c r="B389" s="357">
        <f t="shared" ref="B389:B452" ca="1" si="181">B388+pas</f>
        <v>3.8499999999999619</v>
      </c>
      <c r="C389" s="342"/>
      <c r="D389" s="359">
        <f t="shared" ref="D389:D452" ca="1" si="182">IF(AND(L388&lt;L_rampe,Poussee&lt;Poids*SIN(M388)),0,(-W388+Poussee)/m*COS(M388)-U388/m*SIN(M388))</f>
        <v>-2.1327294352409876</v>
      </c>
      <c r="E389" s="360">
        <f t="shared" ref="E389:E452" ca="1" si="183">IF(AND(L388&lt;L_rampe,Poussee&lt;Poids*SIN(M388)),0,(-W388+Poussee)/m*SIN(M388)+U388/m*COS(M388)-Poids/m)</f>
        <v>-18.303840111585217</v>
      </c>
      <c r="F389" s="357">
        <f t="shared" ref="F389:F452" ca="1" si="184">SQRT(acc_x^2+acc_z^2)</f>
        <v>18.427672063351334</v>
      </c>
      <c r="G389" s="359">
        <f t="shared" ref="G389:G452" ca="1" si="185">G388+acc_x*pas</f>
        <v>41.111107618019844</v>
      </c>
      <c r="H389" s="360">
        <f t="shared" ref="H389:H452" ca="1" si="186">H388+acc_z*pas</f>
        <v>163.6316113959403</v>
      </c>
      <c r="I389" s="357">
        <f t="shared" ref="I389:I452" ca="1" si="187">SQRT(vit_x^2+vit_z^2)</f>
        <v>168.71700393739934</v>
      </c>
      <c r="J389" s="359">
        <f t="shared" ref="J389:J452" ca="1" si="188">J388+0.5*(vit_x+G388)*pas*(K388&gt;=0)</f>
        <v>98.881255647358827</v>
      </c>
      <c r="K389" s="360">
        <f t="shared" ref="K389:K452" ca="1" si="189">K388+0.5*(vit_z+H388)*pas</f>
        <v>431.61997673478351</v>
      </c>
      <c r="L389" s="357">
        <f t="shared" ca="1" si="174"/>
        <v>442.80165654041247</v>
      </c>
      <c r="M389" s="359">
        <f t="shared" ref="M389:M452" ca="1" si="190">IF(AND(L388&gt;L_rampe,G389&gt;0),ATAN2(G389,H389),$M$4)</f>
        <v>1.3246492122201632</v>
      </c>
      <c r="N389" s="357">
        <f t="shared" ref="N389:N452" ca="1" si="191">DEGREES(Beta)</f>
        <v>75.896809195544662</v>
      </c>
      <c r="O389" s="343"/>
      <c r="P389" s="363">
        <f t="shared" ref="P389:P452" ca="1" si="192">MATCH(t-pas/2-T_ini,CdP_t)</f>
        <v>23</v>
      </c>
      <c r="Q389" s="357">
        <f t="shared" ref="Q389:Q452" ca="1" si="193">(INDEX(CdP,2,i_P+1)-INDEX(CdP,2,i_P+0))/(INDEX(CdP,1,i_P+1)-INDEX(CdP,1,i_P+0))*(t-pas/2-T_ini-INDEX(CdP,1,i_P+0))+INDEX(CdP,2,i_P+0)</f>
        <v>0</v>
      </c>
      <c r="R389" s="359">
        <f t="shared" ref="R389:R452" ca="1" si="194">Poussee/(g*ISP)</f>
        <v>0</v>
      </c>
      <c r="S389" s="360">
        <f t="shared" ref="S389:S452" ca="1" si="195">S388-Débit*pas</f>
        <v>8.6519999999999992</v>
      </c>
      <c r="T389" s="357">
        <f t="shared" ca="1" si="175"/>
        <v>84.87612</v>
      </c>
      <c r="U389" s="364">
        <f t="shared" ca="1" si="176"/>
        <v>0</v>
      </c>
      <c r="V389" s="359">
        <f t="shared" ca="1" si="177"/>
        <v>1.1732435096089131</v>
      </c>
      <c r="W389" s="357">
        <f t="shared" ca="1" si="178"/>
        <v>75.5936799339663</v>
      </c>
      <c r="X389" s="343"/>
      <c r="Y389" s="367" t="str">
        <f t="shared" ref="Y389:Y452" ca="1" si="196">IF(AND(pos_z&lt;=0,K388&gt;0),"Impact balistique","") &amp; IF(AND(H390&lt;0,vit_z&gt;=0),"Apogée","") &amp; IF(AND(Poussee=0,Q388&gt;0),"Fin de propulsion","") &amp; IF(AND(L390&gt;L_rampe,pos_xz&lt;=L_rampe),"Sortie de rampe","")</f>
        <v/>
      </c>
      <c r="Z389" s="368" t="str">
        <f t="shared" ref="Z389:Z452" ca="1" si="197">IF(ABS(t-T_para)&lt;pas/2,"Para","")</f>
        <v/>
      </c>
      <c r="AA389" s="369" t="str">
        <f t="shared" ref="AA389:AA452" ca="1" si="198">IF(ABS(t-T_satellite)&lt;pas/2,"Satellite","")</f>
        <v/>
      </c>
      <c r="AB389" s="344"/>
      <c r="AC389" s="363" t="e">
        <f t="shared" ref="AC389:AC452" ca="1" si="199">IF(ABS(t-ROUND(t,0))&lt;0.001,t,NA())</f>
        <v>#N/A</v>
      </c>
      <c r="AD389" s="376" t="e">
        <f t="shared" ref="AD389:AD452" ca="1" si="200">IF(ABS(t-ROUND(t,0))&lt;0.001,pos_x,NA())</f>
        <v>#N/A</v>
      </c>
      <c r="AE389" s="377">
        <f t="shared" ca="1" si="179"/>
        <v>431.61997673478351</v>
      </c>
      <c r="AF389" s="344"/>
      <c r="AG389" s="359">
        <f t="shared" ref="AG389:AG452" ca="1" si="201">IF(AND(L388&lt;L_rampe,Poussee&lt;Poids*SIN(M388)),0,(-W388+Poussee)/m-Poids*SIN(M388)/m)</f>
        <v>-18.272152515086127</v>
      </c>
      <c r="AH389" s="357">
        <f t="shared" ref="AH389:AH452" ca="1" si="202">IF(AND(L388&lt;L_rampe,Poussee&lt;Poids*SIN(M388)), g*SIN(M388), (-W388+Poussee)/m)</f>
        <v>-8.7575027653502531</v>
      </c>
    </row>
    <row r="390" spans="1:34" x14ac:dyDescent="0.25">
      <c r="A390" s="402">
        <f t="shared" ca="1" si="180"/>
        <v>0.01</v>
      </c>
      <c r="B390" s="357">
        <f t="shared" ca="1" si="181"/>
        <v>3.8599999999999617</v>
      </c>
      <c r="C390" s="342"/>
      <c r="D390" s="359">
        <f t="shared" ca="1" si="182"/>
        <v>-2.1289688143293231</v>
      </c>
      <c r="E390" s="360">
        <f t="shared" ca="1" si="183"/>
        <v>-18.28378282621885</v>
      </c>
      <c r="F390" s="357">
        <f t="shared" ca="1" si="184"/>
        <v>18.40731437903754</v>
      </c>
      <c r="G390" s="359">
        <f t="shared" ca="1" si="185"/>
        <v>41.089817929876553</v>
      </c>
      <c r="H390" s="360">
        <f t="shared" ca="1" si="186"/>
        <v>163.4487735676781</v>
      </c>
      <c r="I390" s="357">
        <f t="shared" ca="1" si="187"/>
        <v>168.53449118292824</v>
      </c>
      <c r="J390" s="359">
        <f t="shared" ca="1" si="188"/>
        <v>99.292260275098315</v>
      </c>
      <c r="K390" s="360">
        <f t="shared" ca="1" si="189"/>
        <v>433.2553786596016</v>
      </c>
      <c r="L390" s="357">
        <f t="shared" ca="1" si="174"/>
        <v>444.48754323154282</v>
      </c>
      <c r="M390" s="359">
        <f t="shared" ca="1" si="190"/>
        <v>1.3245073781591958</v>
      </c>
      <c r="N390" s="357">
        <f t="shared" ca="1" si="191"/>
        <v>75.888682702460031</v>
      </c>
      <c r="O390" s="343"/>
      <c r="P390" s="363">
        <f t="shared" ca="1" si="192"/>
        <v>23</v>
      </c>
      <c r="Q390" s="357">
        <f t="shared" ca="1" si="193"/>
        <v>0</v>
      </c>
      <c r="R390" s="359">
        <f t="shared" ca="1" si="194"/>
        <v>0</v>
      </c>
      <c r="S390" s="360">
        <f t="shared" ca="1" si="195"/>
        <v>8.6519999999999992</v>
      </c>
      <c r="T390" s="357">
        <f t="shared" ca="1" si="175"/>
        <v>84.87612</v>
      </c>
      <c r="U390" s="364">
        <f t="shared" ca="1" si="176"/>
        <v>0</v>
      </c>
      <c r="V390" s="359">
        <f t="shared" ca="1" si="177"/>
        <v>1.1730515630992104</v>
      </c>
      <c r="W390" s="357">
        <f t="shared" ca="1" si="178"/>
        <v>75.417878026542894</v>
      </c>
      <c r="X390" s="343"/>
      <c r="Y390" s="367" t="str">
        <f t="shared" ca="1" si="196"/>
        <v/>
      </c>
      <c r="Z390" s="368" t="str">
        <f t="shared" ca="1" si="197"/>
        <v/>
      </c>
      <c r="AA390" s="369" t="str">
        <f t="shared" ca="1" si="198"/>
        <v/>
      </c>
      <c r="AB390" s="344"/>
      <c r="AC390" s="363" t="e">
        <f t="shared" ca="1" si="199"/>
        <v>#N/A</v>
      </c>
      <c r="AD390" s="376" t="e">
        <f t="shared" ca="1" si="200"/>
        <v>#N/A</v>
      </c>
      <c r="AE390" s="377">
        <f t="shared" ca="1" si="179"/>
        <v>433.2553786596016</v>
      </c>
      <c r="AF390" s="344"/>
      <c r="AG390" s="359">
        <f t="shared" ca="1" si="201"/>
        <v>-18.251444966693832</v>
      </c>
      <c r="AH390" s="357">
        <f t="shared" ca="1" si="202"/>
        <v>-8.7371336030936551</v>
      </c>
    </row>
    <row r="391" spans="1:34" x14ac:dyDescent="0.25">
      <c r="A391" s="402">
        <f t="shared" ca="1" si="180"/>
        <v>0.01</v>
      </c>
      <c r="B391" s="357">
        <f t="shared" ca="1" si="181"/>
        <v>3.8699999999999615</v>
      </c>
      <c r="C391" s="342"/>
      <c r="D391" s="359">
        <f t="shared" ca="1" si="182"/>
        <v>-2.125216703951581</v>
      </c>
      <c r="E391" s="360">
        <f t="shared" ca="1" si="183"/>
        <v>-18.263774714194088</v>
      </c>
      <c r="F391" s="357">
        <f t="shared" ca="1" si="184"/>
        <v>18.387006631031333</v>
      </c>
      <c r="G391" s="359">
        <f t="shared" ca="1" si="185"/>
        <v>41.068565762837039</v>
      </c>
      <c r="H391" s="360">
        <f t="shared" ca="1" si="186"/>
        <v>163.26613582053616</v>
      </c>
      <c r="I391" s="357">
        <f t="shared" ca="1" si="187"/>
        <v>168.35218501577648</v>
      </c>
      <c r="J391" s="359">
        <f t="shared" ca="1" si="188"/>
        <v>99.703052193561888</v>
      </c>
      <c r="K391" s="360">
        <f t="shared" ca="1" si="189"/>
        <v>434.88895320654268</v>
      </c>
      <c r="L391" s="357">
        <f t="shared" ca="1" si="174"/>
        <v>446.17160402449929</v>
      </c>
      <c r="M391" s="359">
        <f t="shared" ca="1" si="190"/>
        <v>1.3243653103530111</v>
      </c>
      <c r="N391" s="357">
        <f t="shared" ca="1" si="191"/>
        <v>75.880542816760965</v>
      </c>
      <c r="O391" s="343"/>
      <c r="P391" s="363">
        <f t="shared" ca="1" si="192"/>
        <v>23</v>
      </c>
      <c r="Q391" s="357">
        <f t="shared" ca="1" si="193"/>
        <v>0</v>
      </c>
      <c r="R391" s="359">
        <f t="shared" ca="1" si="194"/>
        <v>0</v>
      </c>
      <c r="S391" s="360">
        <f t="shared" ca="1" si="195"/>
        <v>8.6519999999999992</v>
      </c>
      <c r="T391" s="357">
        <f t="shared" ca="1" si="175"/>
        <v>84.87612</v>
      </c>
      <c r="U391" s="364">
        <f t="shared" ca="1" si="176"/>
        <v>0</v>
      </c>
      <c r="V391" s="359">
        <f t="shared" ca="1" si="177"/>
        <v>1.1728598617396038</v>
      </c>
      <c r="W391" s="357">
        <f t="shared" ca="1" si="178"/>
        <v>75.242506859035416</v>
      </c>
      <c r="X391" s="343"/>
      <c r="Y391" s="367" t="str">
        <f t="shared" ca="1" si="196"/>
        <v/>
      </c>
      <c r="Z391" s="368" t="str">
        <f t="shared" ca="1" si="197"/>
        <v/>
      </c>
      <c r="AA391" s="369" t="str">
        <f t="shared" ca="1" si="198"/>
        <v/>
      </c>
      <c r="AB391" s="344"/>
      <c r="AC391" s="363" t="e">
        <f t="shared" ca="1" si="199"/>
        <v>#N/A</v>
      </c>
      <c r="AD391" s="376" t="e">
        <f t="shared" ca="1" si="200"/>
        <v>#N/A</v>
      </c>
      <c r="AE391" s="377">
        <f t="shared" ca="1" si="179"/>
        <v>434.88895320654268</v>
      </c>
      <c r="AF391" s="344"/>
      <c r="AG391" s="359">
        <f t="shared" ca="1" si="201"/>
        <v>-18.230786609984612</v>
      </c>
      <c r="AH391" s="357">
        <f t="shared" ca="1" si="202"/>
        <v>-8.7168143812462908</v>
      </c>
    </row>
    <row r="392" spans="1:34" x14ac:dyDescent="0.25">
      <c r="A392" s="402">
        <f t="shared" ca="1" si="180"/>
        <v>0.01</v>
      </c>
      <c r="B392" s="357">
        <f t="shared" ca="1" si="181"/>
        <v>3.8799999999999613</v>
      </c>
      <c r="C392" s="342"/>
      <c r="D392" s="359">
        <f t="shared" ca="1" si="182"/>
        <v>-2.1214730769636363</v>
      </c>
      <c r="E392" s="360">
        <f t="shared" ca="1" si="183"/>
        <v>-18.243815622472535</v>
      </c>
      <c r="F392" s="357">
        <f t="shared" ca="1" si="184"/>
        <v>18.366748663904957</v>
      </c>
      <c r="G392" s="359">
        <f t="shared" ca="1" si="185"/>
        <v>41.047351032067404</v>
      </c>
      <c r="H392" s="360">
        <f t="shared" ca="1" si="186"/>
        <v>163.08369766431144</v>
      </c>
      <c r="I392" s="357">
        <f t="shared" ca="1" si="187"/>
        <v>168.17008494561185</v>
      </c>
      <c r="J392" s="359">
        <f t="shared" ca="1" si="188"/>
        <v>100.11363177753641</v>
      </c>
      <c r="K392" s="360">
        <f t="shared" ca="1" si="189"/>
        <v>436.52070237396691</v>
      </c>
      <c r="L392" s="357">
        <f t="shared" ca="1" si="174"/>
        <v>447.85384096683771</v>
      </c>
      <c r="M392" s="359">
        <f t="shared" ca="1" si="190"/>
        <v>1.324223008339845</v>
      </c>
      <c r="N392" s="357">
        <f t="shared" ca="1" si="191"/>
        <v>75.872389511990335</v>
      </c>
      <c r="O392" s="343"/>
      <c r="P392" s="363">
        <f t="shared" ca="1" si="192"/>
        <v>23</v>
      </c>
      <c r="Q392" s="357">
        <f t="shared" ca="1" si="193"/>
        <v>0</v>
      </c>
      <c r="R392" s="359">
        <f t="shared" ca="1" si="194"/>
        <v>0</v>
      </c>
      <c r="S392" s="360">
        <f t="shared" ca="1" si="195"/>
        <v>8.6519999999999992</v>
      </c>
      <c r="T392" s="357">
        <f t="shared" ca="1" si="175"/>
        <v>84.87612</v>
      </c>
      <c r="U392" s="364">
        <f t="shared" ca="1" si="176"/>
        <v>0</v>
      </c>
      <c r="V392" s="359">
        <f t="shared" ca="1" si="177"/>
        <v>1.1726684051854293</v>
      </c>
      <c r="W392" s="357">
        <f t="shared" ca="1" si="178"/>
        <v>75.067565092314311</v>
      </c>
      <c r="X392" s="343"/>
      <c r="Y392" s="367" t="str">
        <f t="shared" ca="1" si="196"/>
        <v/>
      </c>
      <c r="Z392" s="368" t="str">
        <f t="shared" ca="1" si="197"/>
        <v/>
      </c>
      <c r="AA392" s="369" t="str">
        <f t="shared" ca="1" si="198"/>
        <v/>
      </c>
      <c r="AB392" s="344"/>
      <c r="AC392" s="363" t="e">
        <f t="shared" ca="1" si="199"/>
        <v>#N/A</v>
      </c>
      <c r="AD392" s="376" t="e">
        <f t="shared" ca="1" si="200"/>
        <v>#N/A</v>
      </c>
      <c r="AE392" s="377">
        <f t="shared" ca="1" si="179"/>
        <v>436.52070237396691</v>
      </c>
      <c r="AF392" s="344"/>
      <c r="AG392" s="359">
        <f t="shared" ca="1" si="201"/>
        <v>-18.210177287520786</v>
      </c>
      <c r="AH392" s="357">
        <f t="shared" ca="1" si="202"/>
        <v>-8.6965449444100127</v>
      </c>
    </row>
    <row r="393" spans="1:34" x14ac:dyDescent="0.25">
      <c r="A393" s="402">
        <f t="shared" ca="1" si="180"/>
        <v>0.01</v>
      </c>
      <c r="B393" s="357">
        <f t="shared" ca="1" si="181"/>
        <v>3.889999999999961</v>
      </c>
      <c r="C393" s="342"/>
      <c r="D393" s="359">
        <f t="shared" ca="1" si="182"/>
        <v>-2.1177379063293751</v>
      </c>
      <c r="E393" s="360">
        <f t="shared" ca="1" si="183"/>
        <v>-18.223905398627544</v>
      </c>
      <c r="F393" s="357">
        <f t="shared" ca="1" si="184"/>
        <v>18.346540322851894</v>
      </c>
      <c r="G393" s="359">
        <f t="shared" ca="1" si="185"/>
        <v>41.026173653004108</v>
      </c>
      <c r="H393" s="360">
        <f t="shared" ca="1" si="186"/>
        <v>162.90145861032516</v>
      </c>
      <c r="I393" s="357">
        <f t="shared" ca="1" si="187"/>
        <v>167.98819048367039</v>
      </c>
      <c r="J393" s="359">
        <f t="shared" ca="1" si="188"/>
        <v>100.52399940096177</v>
      </c>
      <c r="K393" s="360">
        <f t="shared" ca="1" si="189"/>
        <v>438.15062815534009</v>
      </c>
      <c r="L393" s="357">
        <f t="shared" ca="1" si="174"/>
        <v>449.53425610122713</v>
      </c>
      <c r="M393" s="359">
        <f t="shared" ca="1" si="190"/>
        <v>1.3240804716566326</v>
      </c>
      <c r="N393" s="357">
        <f t="shared" ca="1" si="191"/>
        <v>75.86422276161646</v>
      </c>
      <c r="O393" s="343"/>
      <c r="P393" s="363">
        <f t="shared" ca="1" si="192"/>
        <v>23</v>
      </c>
      <c r="Q393" s="357">
        <f t="shared" ca="1" si="193"/>
        <v>0</v>
      </c>
      <c r="R393" s="359">
        <f t="shared" ca="1" si="194"/>
        <v>0</v>
      </c>
      <c r="S393" s="360">
        <f t="shared" ca="1" si="195"/>
        <v>8.6519999999999992</v>
      </c>
      <c r="T393" s="357">
        <f t="shared" ca="1" si="175"/>
        <v>84.87612</v>
      </c>
      <c r="U393" s="364">
        <f t="shared" ca="1" si="176"/>
        <v>0</v>
      </c>
      <c r="V393" s="359">
        <f t="shared" ca="1" si="177"/>
        <v>1.1724771930929119</v>
      </c>
      <c r="W393" s="357">
        <f t="shared" ca="1" si="178"/>
        <v>74.893051392599233</v>
      </c>
      <c r="X393" s="343"/>
      <c r="Y393" s="367" t="str">
        <f t="shared" ca="1" si="196"/>
        <v/>
      </c>
      <c r="Z393" s="368" t="str">
        <f t="shared" ca="1" si="197"/>
        <v/>
      </c>
      <c r="AA393" s="369" t="str">
        <f t="shared" ca="1" si="198"/>
        <v/>
      </c>
      <c r="AB393" s="344"/>
      <c r="AC393" s="363" t="e">
        <f t="shared" ca="1" si="199"/>
        <v>#N/A</v>
      </c>
      <c r="AD393" s="376" t="e">
        <f t="shared" ca="1" si="200"/>
        <v>#N/A</v>
      </c>
      <c r="AE393" s="377">
        <f t="shared" ca="1" si="179"/>
        <v>438.15062815534009</v>
      </c>
      <c r="AF393" s="344"/>
      <c r="AG393" s="359">
        <f t="shared" ca="1" si="201"/>
        <v>-18.189616842478877</v>
      </c>
      <c r="AH393" s="357">
        <f t="shared" ca="1" si="202"/>
        <v>-8.6763251378079431</v>
      </c>
    </row>
    <row r="394" spans="1:34" x14ac:dyDescent="0.25">
      <c r="A394" s="402">
        <f t="shared" ca="1" si="180"/>
        <v>0.01</v>
      </c>
      <c r="B394" s="357">
        <f t="shared" ca="1" si="181"/>
        <v>3.8999999999999608</v>
      </c>
      <c r="C394" s="342"/>
      <c r="D394" s="359">
        <f t="shared" ca="1" si="182"/>
        <v>-2.1140111651201847</v>
      </c>
      <c r="E394" s="360">
        <f t="shared" ca="1" si="183"/>
        <v>-18.204043890841245</v>
      </c>
      <c r="F394" s="357">
        <f t="shared" ca="1" si="184"/>
        <v>18.326381453683847</v>
      </c>
      <c r="G394" s="359">
        <f t="shared" ca="1" si="185"/>
        <v>41.005033541352908</v>
      </c>
      <c r="H394" s="360">
        <f t="shared" ca="1" si="186"/>
        <v>162.71941817141675</v>
      </c>
      <c r="I394" s="357">
        <f t="shared" ca="1" si="187"/>
        <v>167.80650114275034</v>
      </c>
      <c r="J394" s="359">
        <f t="shared" ca="1" si="188"/>
        <v>100.93415543693355</v>
      </c>
      <c r="K394" s="360">
        <f t="shared" ca="1" si="189"/>
        <v>439.77873253924878</v>
      </c>
      <c r="L394" s="357">
        <f t="shared" ca="1" si="174"/>
        <v>451.21285146546433</v>
      </c>
      <c r="M394" s="359">
        <f t="shared" ca="1" si="190"/>
        <v>1.3239376998390047</v>
      </c>
      <c r="N394" s="357">
        <f t="shared" ca="1" si="191"/>
        <v>75.856042539032984</v>
      </c>
      <c r="O394" s="343"/>
      <c r="P394" s="363">
        <f t="shared" ca="1" si="192"/>
        <v>23</v>
      </c>
      <c r="Q394" s="357">
        <f t="shared" ca="1" si="193"/>
        <v>0</v>
      </c>
      <c r="R394" s="359">
        <f t="shared" ca="1" si="194"/>
        <v>0</v>
      </c>
      <c r="S394" s="360">
        <f t="shared" ca="1" si="195"/>
        <v>8.6519999999999992</v>
      </c>
      <c r="T394" s="357">
        <f t="shared" ca="1" si="175"/>
        <v>84.87612</v>
      </c>
      <c r="U394" s="364">
        <f t="shared" ca="1" si="176"/>
        <v>0</v>
      </c>
      <c r="V394" s="359">
        <f t="shared" ca="1" si="177"/>
        <v>1.1722862251191648</v>
      </c>
      <c r="W394" s="357">
        <f t="shared" ca="1" si="178"/>
        <v>74.718964431433548</v>
      </c>
      <c r="X394" s="343"/>
      <c r="Y394" s="367" t="str">
        <f t="shared" ca="1" si="196"/>
        <v/>
      </c>
      <c r="Z394" s="368" t="str">
        <f t="shared" ca="1" si="197"/>
        <v/>
      </c>
      <c r="AA394" s="369" t="str">
        <f t="shared" ca="1" si="198"/>
        <v/>
      </c>
      <c r="AB394" s="344"/>
      <c r="AC394" s="363" t="e">
        <f t="shared" ca="1" si="199"/>
        <v>#N/A</v>
      </c>
      <c r="AD394" s="376" t="e">
        <f t="shared" ca="1" si="200"/>
        <v>#N/A</v>
      </c>
      <c r="AE394" s="377">
        <f t="shared" ca="1" si="179"/>
        <v>439.77873253924878</v>
      </c>
      <c r="AF394" s="344"/>
      <c r="AG394" s="359">
        <f t="shared" ca="1" si="201"/>
        <v>-18.169105118646556</v>
      </c>
      <c r="AH394" s="357">
        <f t="shared" ca="1" si="202"/>
        <v>-8.6561548072814656</v>
      </c>
    </row>
    <row r="395" spans="1:34" x14ac:dyDescent="0.25">
      <c r="A395" s="402">
        <f t="shared" ca="1" si="180"/>
        <v>0.01</v>
      </c>
      <c r="B395" s="357">
        <f t="shared" ca="1" si="181"/>
        <v>3.9099999999999606</v>
      </c>
      <c r="C395" s="342"/>
      <c r="D395" s="359">
        <f t="shared" ca="1" si="182"/>
        <v>-2.1102928265144354</v>
      </c>
      <c r="E395" s="360">
        <f t="shared" ca="1" si="183"/>
        <v>-18.184230947901668</v>
      </c>
      <c r="F395" s="357">
        <f t="shared" ca="1" si="184"/>
        <v>18.306271902827813</v>
      </c>
      <c r="G395" s="359">
        <f t="shared" ca="1" si="185"/>
        <v>40.983930613087765</v>
      </c>
      <c r="H395" s="360">
        <f t="shared" ca="1" si="186"/>
        <v>162.53757586193774</v>
      </c>
      <c r="I395" s="357">
        <f t="shared" ca="1" si="187"/>
        <v>167.62501643720594</v>
      </c>
      <c r="J395" s="359">
        <f t="shared" ca="1" si="188"/>
        <v>101.34410025770575</v>
      </c>
      <c r="K395" s="360">
        <f t="shared" ca="1" si="189"/>
        <v>441.40501750941553</v>
      </c>
      <c r="L395" s="357">
        <f t="shared" ca="1" si="174"/>
        <v>452.88962909248795</v>
      </c>
      <c r="M395" s="359">
        <f t="shared" ca="1" si="190"/>
        <v>1.323794692421284</v>
      </c>
      <c r="N395" s="357">
        <f t="shared" ca="1" si="191"/>
        <v>75.847848817558514</v>
      </c>
      <c r="O395" s="343"/>
      <c r="P395" s="363">
        <f t="shared" ca="1" si="192"/>
        <v>23</v>
      </c>
      <c r="Q395" s="357">
        <f t="shared" ca="1" si="193"/>
        <v>0</v>
      </c>
      <c r="R395" s="359">
        <f t="shared" ca="1" si="194"/>
        <v>0</v>
      </c>
      <c r="S395" s="360">
        <f t="shared" ca="1" si="195"/>
        <v>8.6519999999999992</v>
      </c>
      <c r="T395" s="357">
        <f t="shared" ca="1" si="175"/>
        <v>84.87612</v>
      </c>
      <c r="U395" s="364">
        <f t="shared" ca="1" si="176"/>
        <v>0</v>
      </c>
      <c r="V395" s="359">
        <f t="shared" ca="1" si="177"/>
        <v>1.1720955009221852</v>
      </c>
      <c r="W395" s="357">
        <f t="shared" ca="1" si="178"/>
        <v>74.545302885658799</v>
      </c>
      <c r="X395" s="343"/>
      <c r="Y395" s="367" t="str">
        <f t="shared" ca="1" si="196"/>
        <v/>
      </c>
      <c r="Z395" s="368" t="str">
        <f t="shared" ca="1" si="197"/>
        <v/>
      </c>
      <c r="AA395" s="369" t="str">
        <f t="shared" ca="1" si="198"/>
        <v/>
      </c>
      <c r="AB395" s="344"/>
      <c r="AC395" s="363" t="e">
        <f t="shared" ca="1" si="199"/>
        <v>#N/A</v>
      </c>
      <c r="AD395" s="376" t="e">
        <f t="shared" ca="1" si="200"/>
        <v>#N/A</v>
      </c>
      <c r="AE395" s="377">
        <f t="shared" ca="1" si="179"/>
        <v>441.40501750941553</v>
      </c>
      <c r="AF395" s="344"/>
      <c r="AG395" s="359">
        <f t="shared" ca="1" si="201"/>
        <v>-18.14864196041967</v>
      </c>
      <c r="AH395" s="357">
        <f t="shared" ca="1" si="202"/>
        <v>-8.6360337992872811</v>
      </c>
    </row>
    <row r="396" spans="1:34" x14ac:dyDescent="0.25">
      <c r="A396" s="402">
        <f t="shared" ca="1" si="180"/>
        <v>0.01</v>
      </c>
      <c r="B396" s="357">
        <f t="shared" ca="1" si="181"/>
        <v>3.9199999999999604</v>
      </c>
      <c r="C396" s="342"/>
      <c r="D396" s="359">
        <f t="shared" ca="1" si="182"/>
        <v>-2.1065828637969615</v>
      </c>
      <c r="E396" s="360">
        <f t="shared" ca="1" si="183"/>
        <v>-18.164466419199805</v>
      </c>
      <c r="F396" s="357">
        <f t="shared" ca="1" si="184"/>
        <v>18.28621151732311</v>
      </c>
      <c r="G396" s="359">
        <f t="shared" ca="1" si="185"/>
        <v>40.962864784449792</v>
      </c>
      <c r="H396" s="360">
        <f t="shared" ca="1" si="186"/>
        <v>162.35593119774575</v>
      </c>
      <c r="I396" s="357">
        <f t="shared" ca="1" si="187"/>
        <v>167.4437358829415</v>
      </c>
      <c r="J396" s="359">
        <f t="shared" ca="1" si="188"/>
        <v>101.75383423469343</v>
      </c>
      <c r="K396" s="360">
        <f t="shared" ca="1" si="189"/>
        <v>443.02948504471397</v>
      </c>
      <c r="L396" s="357">
        <f t="shared" ca="1" si="174"/>
        <v>454.56459101039303</v>
      </c>
      <c r="M396" s="359">
        <f t="shared" ca="1" si="190"/>
        <v>1.3236514489364799</v>
      </c>
      <c r="N396" s="357">
        <f t="shared" ca="1" si="191"/>
        <v>75.839641570436498</v>
      </c>
      <c r="O396" s="343"/>
      <c r="P396" s="363">
        <f t="shared" ca="1" si="192"/>
        <v>23</v>
      </c>
      <c r="Q396" s="357">
        <f t="shared" ca="1" si="193"/>
        <v>0</v>
      </c>
      <c r="R396" s="359">
        <f t="shared" ca="1" si="194"/>
        <v>0</v>
      </c>
      <c r="S396" s="360">
        <f t="shared" ca="1" si="195"/>
        <v>8.6519999999999992</v>
      </c>
      <c r="T396" s="357">
        <f t="shared" ca="1" si="175"/>
        <v>84.87612</v>
      </c>
      <c r="U396" s="364">
        <f t="shared" ca="1" si="176"/>
        <v>0</v>
      </c>
      <c r="V396" s="359">
        <f t="shared" ca="1" si="177"/>
        <v>1.1719050201608525</v>
      </c>
      <c r="W396" s="357">
        <f t="shared" ca="1" si="178"/>
        <v>74.372065437389423</v>
      </c>
      <c r="X396" s="343"/>
      <c r="Y396" s="367" t="str">
        <f t="shared" ca="1" si="196"/>
        <v/>
      </c>
      <c r="Z396" s="368" t="str">
        <f t="shared" ca="1" si="197"/>
        <v/>
      </c>
      <c r="AA396" s="369" t="str">
        <f t="shared" ca="1" si="198"/>
        <v/>
      </c>
      <c r="AB396" s="344"/>
      <c r="AC396" s="363" t="e">
        <f t="shared" ca="1" si="199"/>
        <v>#N/A</v>
      </c>
      <c r="AD396" s="376" t="e">
        <f t="shared" ca="1" si="200"/>
        <v>#N/A</v>
      </c>
      <c r="AE396" s="377">
        <f t="shared" ca="1" si="179"/>
        <v>443.02948504471397</v>
      </c>
      <c r="AF396" s="344"/>
      <c r="AG396" s="359">
        <f t="shared" ca="1" si="201"/>
        <v>-18.128227212799281</v>
      </c>
      <c r="AH396" s="357">
        <f t="shared" ca="1" si="202"/>
        <v>-8.6159619608944524</v>
      </c>
    </row>
    <row r="397" spans="1:34" x14ac:dyDescent="0.25">
      <c r="A397" s="402">
        <f t="shared" ca="1" si="180"/>
        <v>0.01</v>
      </c>
      <c r="B397" s="357">
        <f t="shared" ca="1" si="181"/>
        <v>3.9299999999999602</v>
      </c>
      <c r="C397" s="342"/>
      <c r="D397" s="359">
        <f t="shared" ca="1" si="182"/>
        <v>-2.1028812503585623</v>
      </c>
      <c r="E397" s="360">
        <f t="shared" ca="1" si="183"/>
        <v>-18.144750154726758</v>
      </c>
      <c r="F397" s="357">
        <f t="shared" ca="1" si="184"/>
        <v>18.26620014481847</v>
      </c>
      <c r="G397" s="359">
        <f t="shared" ca="1" si="185"/>
        <v>40.941835971946205</v>
      </c>
      <c r="H397" s="360">
        <f t="shared" ca="1" si="186"/>
        <v>162.17448369619848</v>
      </c>
      <c r="I397" s="357">
        <f t="shared" ca="1" si="187"/>
        <v>167.26265899740531</v>
      </c>
      <c r="J397" s="359">
        <f t="shared" ca="1" si="188"/>
        <v>102.16335773847541</v>
      </c>
      <c r="K397" s="360">
        <f t="shared" ca="1" si="189"/>
        <v>444.65213711918369</v>
      </c>
      <c r="L397" s="357">
        <f t="shared" ca="1" si="174"/>
        <v>456.23773924244477</v>
      </c>
      <c r="M397" s="359">
        <f t="shared" ca="1" si="190"/>
        <v>1.3235079689162843</v>
      </c>
      <c r="N397" s="357">
        <f t="shared" ca="1" si="191"/>
        <v>75.831420770834839</v>
      </c>
      <c r="O397" s="343"/>
      <c r="P397" s="363">
        <f t="shared" ca="1" si="192"/>
        <v>23</v>
      </c>
      <c r="Q397" s="357">
        <f t="shared" ca="1" si="193"/>
        <v>0</v>
      </c>
      <c r="R397" s="359">
        <f t="shared" ca="1" si="194"/>
        <v>0</v>
      </c>
      <c r="S397" s="360">
        <f t="shared" ca="1" si="195"/>
        <v>8.6519999999999992</v>
      </c>
      <c r="T397" s="357">
        <f t="shared" ca="1" si="175"/>
        <v>84.87612</v>
      </c>
      <c r="U397" s="364">
        <f t="shared" ca="1" si="176"/>
        <v>0</v>
      </c>
      <c r="V397" s="359">
        <f t="shared" ca="1" si="177"/>
        <v>1.1717147824949246</v>
      </c>
      <c r="W397" s="357">
        <f t="shared" ca="1" si="178"/>
        <v>74.199250773987544</v>
      </c>
      <c r="X397" s="343"/>
      <c r="Y397" s="367" t="str">
        <f t="shared" ca="1" si="196"/>
        <v/>
      </c>
      <c r="Z397" s="368" t="str">
        <f t="shared" ca="1" si="197"/>
        <v/>
      </c>
      <c r="AA397" s="369" t="str">
        <f t="shared" ca="1" si="198"/>
        <v/>
      </c>
      <c r="AB397" s="344"/>
      <c r="AC397" s="363" t="e">
        <f t="shared" ca="1" si="199"/>
        <v>#N/A</v>
      </c>
      <c r="AD397" s="376" t="e">
        <f t="shared" ca="1" si="200"/>
        <v>#N/A</v>
      </c>
      <c r="AE397" s="377">
        <f t="shared" ca="1" si="179"/>
        <v>444.65213711918369</v>
      </c>
      <c r="AF397" s="344"/>
      <c r="AG397" s="359">
        <f t="shared" ca="1" si="201"/>
        <v>-18.107860721388683</v>
      </c>
      <c r="AH397" s="357">
        <f t="shared" ca="1" si="202"/>
        <v>-8.5959391397814873</v>
      </c>
    </row>
    <row r="398" spans="1:34" x14ac:dyDescent="0.25">
      <c r="A398" s="402">
        <f t="shared" ca="1" si="180"/>
        <v>0.01</v>
      </c>
      <c r="B398" s="357">
        <f t="shared" ca="1" si="181"/>
        <v>3.93999999999996</v>
      </c>
      <c r="C398" s="342"/>
      <c r="D398" s="359">
        <f t="shared" ca="1" si="182"/>
        <v>-2.0991879596954921</v>
      </c>
      <c r="E398" s="360">
        <f t="shared" ca="1" si="183"/>
        <v>-18.125082005070858</v>
      </c>
      <c r="F398" s="357">
        <f t="shared" ca="1" si="184"/>
        <v>18.24623763356912</v>
      </c>
      <c r="G398" s="359">
        <f t="shared" ca="1" si="185"/>
        <v>40.920844092349249</v>
      </c>
      <c r="H398" s="360">
        <f t="shared" ca="1" si="186"/>
        <v>161.99323287614777</v>
      </c>
      <c r="I398" s="357">
        <f t="shared" ca="1" si="187"/>
        <v>167.08178529958374</v>
      </c>
      <c r="J398" s="359">
        <f t="shared" ca="1" si="188"/>
        <v>102.57267113879689</v>
      </c>
      <c r="K398" s="360">
        <f t="shared" ca="1" si="189"/>
        <v>446.27297570204541</v>
      </c>
      <c r="L398" s="357">
        <f t="shared" ca="1" si="174"/>
        <v>457.90907580709313</v>
      </c>
      <c r="M398" s="359">
        <f t="shared" ca="1" si="190"/>
        <v>1.3233642518910675</v>
      </c>
      <c r="N398" s="357">
        <f t="shared" ca="1" si="191"/>
        <v>75.823186391845738</v>
      </c>
      <c r="O398" s="343"/>
      <c r="P398" s="363">
        <f t="shared" ca="1" si="192"/>
        <v>23</v>
      </c>
      <c r="Q398" s="357">
        <f t="shared" ca="1" si="193"/>
        <v>0</v>
      </c>
      <c r="R398" s="359">
        <f t="shared" ca="1" si="194"/>
        <v>0</v>
      </c>
      <c r="S398" s="360">
        <f t="shared" ca="1" si="195"/>
        <v>8.6519999999999992</v>
      </c>
      <c r="T398" s="357">
        <f t="shared" ca="1" si="175"/>
        <v>84.87612</v>
      </c>
      <c r="U398" s="364">
        <f t="shared" ca="1" si="176"/>
        <v>0</v>
      </c>
      <c r="V398" s="359">
        <f t="shared" ca="1" si="177"/>
        <v>1.1715247875850356</v>
      </c>
      <c r="W398" s="357">
        <f t="shared" ca="1" si="178"/>
        <v>74.026857588037998</v>
      </c>
      <c r="X398" s="343"/>
      <c r="Y398" s="367" t="str">
        <f t="shared" ca="1" si="196"/>
        <v/>
      </c>
      <c r="Z398" s="368" t="str">
        <f t="shared" ca="1" si="197"/>
        <v/>
      </c>
      <c r="AA398" s="369" t="str">
        <f t="shared" ca="1" si="198"/>
        <v/>
      </c>
      <c r="AB398" s="344"/>
      <c r="AC398" s="363" t="e">
        <f t="shared" ca="1" si="199"/>
        <v>#N/A</v>
      </c>
      <c r="AD398" s="376" t="e">
        <f t="shared" ca="1" si="200"/>
        <v>#N/A</v>
      </c>
      <c r="AE398" s="377">
        <f t="shared" ca="1" si="179"/>
        <v>446.27297570204541</v>
      </c>
      <c r="AF398" s="344"/>
      <c r="AG398" s="359">
        <f t="shared" ca="1" si="201"/>
        <v>-18.08754233239048</v>
      </c>
      <c r="AH398" s="357">
        <f t="shared" ca="1" si="202"/>
        <v>-8.5759651842334197</v>
      </c>
    </row>
    <row r="399" spans="1:34" x14ac:dyDescent="0.25">
      <c r="A399" s="402">
        <f t="shared" ca="1" si="180"/>
        <v>0.01</v>
      </c>
      <c r="B399" s="357">
        <f t="shared" ca="1" si="181"/>
        <v>3.9499999999999598</v>
      </c>
      <c r="C399" s="342"/>
      <c r="D399" s="359">
        <f t="shared" ca="1" si="182"/>
        <v>-2.0955029654089583</v>
      </c>
      <c r="E399" s="360">
        <f t="shared" ca="1" si="183"/>
        <v>-18.105461821414828</v>
      </c>
      <c r="F399" s="357">
        <f t="shared" ca="1" si="184"/>
        <v>18.226323832433891</v>
      </c>
      <c r="G399" s="359">
        <f t="shared" ca="1" si="185"/>
        <v>40.899889062695159</v>
      </c>
      <c r="H399" s="360">
        <f t="shared" ca="1" si="186"/>
        <v>161.81217825793362</v>
      </c>
      <c r="I399" s="357">
        <f t="shared" ca="1" si="187"/>
        <v>166.90111430999511</v>
      </c>
      <c r="J399" s="359">
        <f t="shared" ca="1" si="188"/>
        <v>102.98177480457211</v>
      </c>
      <c r="K399" s="360">
        <f t="shared" ca="1" si="189"/>
        <v>447.89200275771583</v>
      </c>
      <c r="L399" s="357">
        <f t="shared" ca="1" si="174"/>
        <v>459.578602717987</v>
      </c>
      <c r="M399" s="359">
        <f t="shared" ca="1" si="190"/>
        <v>1.3232202973898737</v>
      </c>
      <c r="N399" s="357">
        <f t="shared" ca="1" si="191"/>
        <v>75.814938406485425</v>
      </c>
      <c r="O399" s="343"/>
      <c r="P399" s="363">
        <f t="shared" ca="1" si="192"/>
        <v>23</v>
      </c>
      <c r="Q399" s="357">
        <f t="shared" ca="1" si="193"/>
        <v>0</v>
      </c>
      <c r="R399" s="359">
        <f t="shared" ca="1" si="194"/>
        <v>0</v>
      </c>
      <c r="S399" s="360">
        <f t="shared" ca="1" si="195"/>
        <v>8.6519999999999992</v>
      </c>
      <c r="T399" s="357">
        <f t="shared" ca="1" si="175"/>
        <v>84.87612</v>
      </c>
      <c r="U399" s="364">
        <f t="shared" ca="1" si="176"/>
        <v>0</v>
      </c>
      <c r="V399" s="359">
        <f t="shared" ca="1" si="177"/>
        <v>1.1713350350926928</v>
      </c>
      <c r="W399" s="357">
        <f t="shared" ca="1" si="178"/>
        <v>73.854884577323247</v>
      </c>
      <c r="X399" s="343"/>
      <c r="Y399" s="367" t="str">
        <f t="shared" ca="1" si="196"/>
        <v/>
      </c>
      <c r="Z399" s="368" t="str">
        <f t="shared" ca="1" si="197"/>
        <v/>
      </c>
      <c r="AA399" s="369" t="str">
        <f t="shared" ca="1" si="198"/>
        <v/>
      </c>
      <c r="AB399" s="344"/>
      <c r="AC399" s="363" t="e">
        <f t="shared" ca="1" si="199"/>
        <v>#N/A</v>
      </c>
      <c r="AD399" s="376" t="e">
        <f t="shared" ca="1" si="200"/>
        <v>#N/A</v>
      </c>
      <c r="AE399" s="377">
        <f t="shared" ca="1" si="179"/>
        <v>447.89200275771583</v>
      </c>
      <c r="AF399" s="344"/>
      <c r="AG399" s="359">
        <f t="shared" ca="1" si="201"/>
        <v>-18.067271892603671</v>
      </c>
      <c r="AH399" s="357">
        <f t="shared" ca="1" si="202"/>
        <v>-8.5560399431389271</v>
      </c>
    </row>
    <row r="400" spans="1:34" x14ac:dyDescent="0.25">
      <c r="A400" s="402">
        <f t="shared" ca="1" si="180"/>
        <v>0.01</v>
      </c>
      <c r="B400" s="357">
        <f t="shared" ca="1" si="181"/>
        <v>3.9599999999999596</v>
      </c>
      <c r="C400" s="342"/>
      <c r="D400" s="359">
        <f t="shared" ca="1" si="182"/>
        <v>-2.0918262412046182</v>
      </c>
      <c r="E400" s="360">
        <f t="shared" ca="1" si="183"/>
        <v>-18.085889455532921</v>
      </c>
      <c r="F400" s="357">
        <f t="shared" ca="1" si="184"/>
        <v>18.206458590872337</v>
      </c>
      <c r="G400" s="359">
        <f t="shared" ca="1" si="185"/>
        <v>40.878970800283113</v>
      </c>
      <c r="H400" s="360">
        <f t="shared" ca="1" si="186"/>
        <v>161.63131936337828</v>
      </c>
      <c r="I400" s="357">
        <f t="shared" ca="1" si="187"/>
        <v>166.72064555068391</v>
      </c>
      <c r="J400" s="359">
        <f t="shared" ca="1" si="188"/>
        <v>103.39066910388701</v>
      </c>
      <c r="K400" s="360">
        <f t="shared" ca="1" si="189"/>
        <v>449.50922024582241</v>
      </c>
      <c r="L400" s="357">
        <f t="shared" ca="1" si="174"/>
        <v>461.24632198398797</v>
      </c>
      <c r="M400" s="359">
        <f t="shared" ca="1" si="190"/>
        <v>1.3230761049404163</v>
      </c>
      <c r="N400" s="357">
        <f t="shared" ca="1" si="191"/>
        <v>75.80667678769386</v>
      </c>
      <c r="O400" s="343"/>
      <c r="P400" s="363">
        <f t="shared" ca="1" si="192"/>
        <v>23</v>
      </c>
      <c r="Q400" s="357">
        <f t="shared" ca="1" si="193"/>
        <v>0</v>
      </c>
      <c r="R400" s="359">
        <f t="shared" ca="1" si="194"/>
        <v>0</v>
      </c>
      <c r="S400" s="360">
        <f t="shared" ca="1" si="195"/>
        <v>8.6519999999999992</v>
      </c>
      <c r="T400" s="357">
        <f t="shared" ca="1" si="175"/>
        <v>84.87612</v>
      </c>
      <c r="U400" s="364">
        <f t="shared" ca="1" si="176"/>
        <v>0</v>
      </c>
      <c r="V400" s="359">
        <f t="shared" ca="1" si="177"/>
        <v>1.1711455246802729</v>
      </c>
      <c r="W400" s="357">
        <f t="shared" ca="1" si="178"/>
        <v>73.68333044479877</v>
      </c>
      <c r="X400" s="343"/>
      <c r="Y400" s="367" t="str">
        <f t="shared" ca="1" si="196"/>
        <v/>
      </c>
      <c r="Z400" s="368" t="str">
        <f t="shared" ca="1" si="197"/>
        <v/>
      </c>
      <c r="AA400" s="369" t="str">
        <f t="shared" ca="1" si="198"/>
        <v/>
      </c>
      <c r="AB400" s="344"/>
      <c r="AC400" s="363" t="e">
        <f t="shared" ca="1" si="199"/>
        <v>#N/A</v>
      </c>
      <c r="AD400" s="376" t="e">
        <f t="shared" ca="1" si="200"/>
        <v>#N/A</v>
      </c>
      <c r="AE400" s="377">
        <f t="shared" ca="1" si="179"/>
        <v>449.50922024582241</v>
      </c>
      <c r="AF400" s="344"/>
      <c r="AG400" s="359">
        <f t="shared" ca="1" si="201"/>
        <v>-18.047049249420716</v>
      </c>
      <c r="AH400" s="357">
        <f t="shared" ca="1" si="202"/>
        <v>-8.5361632659874314</v>
      </c>
    </row>
    <row r="401" spans="1:34" x14ac:dyDescent="0.25">
      <c r="A401" s="402">
        <f t="shared" ca="1" si="180"/>
        <v>0.01</v>
      </c>
      <c r="B401" s="357">
        <f t="shared" ca="1" si="181"/>
        <v>3.9699999999999593</v>
      </c>
      <c r="C401" s="342"/>
      <c r="D401" s="359">
        <f t="shared" ca="1" si="182"/>
        <v>-2.0881577608920812</v>
      </c>
      <c r="E401" s="360">
        <f t="shared" ca="1" si="183"/>
        <v>-18.066364759788115</v>
      </c>
      <c r="F401" s="357">
        <f t="shared" ca="1" si="184"/>
        <v>18.186641758941857</v>
      </c>
      <c r="G401" s="359">
        <f t="shared" ca="1" si="185"/>
        <v>40.858089222674195</v>
      </c>
      <c r="H401" s="360">
        <f t="shared" ca="1" si="186"/>
        <v>161.45065571578041</v>
      </c>
      <c r="I401" s="357">
        <f t="shared" ca="1" si="187"/>
        <v>166.54037854521485</v>
      </c>
      <c r="J401" s="359">
        <f t="shared" ca="1" si="188"/>
        <v>103.79935440400179</v>
      </c>
      <c r="K401" s="360">
        <f t="shared" ca="1" si="189"/>
        <v>451.12463012121822</v>
      </c>
      <c r="L401" s="357">
        <f t="shared" ca="1" si="174"/>
        <v>462.9122356091849</v>
      </c>
      <c r="M401" s="359">
        <f t="shared" ca="1" si="190"/>
        <v>1.3229316740690746</v>
      </c>
      <c r="N401" s="357">
        <f t="shared" ca="1" si="191"/>
        <v>75.798401508334592</v>
      </c>
      <c r="O401" s="343"/>
      <c r="P401" s="363">
        <f t="shared" ca="1" si="192"/>
        <v>23</v>
      </c>
      <c r="Q401" s="357">
        <f t="shared" ca="1" si="193"/>
        <v>0</v>
      </c>
      <c r="R401" s="359">
        <f t="shared" ca="1" si="194"/>
        <v>0</v>
      </c>
      <c r="S401" s="360">
        <f t="shared" ca="1" si="195"/>
        <v>8.6519999999999992</v>
      </c>
      <c r="T401" s="357">
        <f t="shared" ca="1" si="175"/>
        <v>84.87612</v>
      </c>
      <c r="U401" s="364">
        <f t="shared" ca="1" si="176"/>
        <v>0</v>
      </c>
      <c r="V401" s="359">
        <f t="shared" ca="1" si="177"/>
        <v>1.1709562560110205</v>
      </c>
      <c r="W401" s="357">
        <f t="shared" ca="1" si="178"/>
        <v>73.512193898568412</v>
      </c>
      <c r="X401" s="343"/>
      <c r="Y401" s="367" t="str">
        <f t="shared" ca="1" si="196"/>
        <v/>
      </c>
      <c r="Z401" s="368" t="str">
        <f t="shared" ca="1" si="197"/>
        <v/>
      </c>
      <c r="AA401" s="369" t="str">
        <f t="shared" ca="1" si="198"/>
        <v/>
      </c>
      <c r="AB401" s="344"/>
      <c r="AC401" s="363" t="e">
        <f t="shared" ca="1" si="199"/>
        <v>#N/A</v>
      </c>
      <c r="AD401" s="376" t="e">
        <f t="shared" ca="1" si="200"/>
        <v>#N/A</v>
      </c>
      <c r="AE401" s="377">
        <f t="shared" ca="1" si="179"/>
        <v>451.12463012121822</v>
      </c>
      <c r="AF401" s="344"/>
      <c r="AG401" s="359">
        <f t="shared" ca="1" si="201"/>
        <v>-18.026874250824651</v>
      </c>
      <c r="AH401" s="357">
        <f t="shared" ca="1" si="202"/>
        <v>-8.5163350028662475</v>
      </c>
    </row>
    <row r="402" spans="1:34" x14ac:dyDescent="0.25">
      <c r="A402" s="402">
        <f t="shared" ca="1" si="180"/>
        <v>0.01</v>
      </c>
      <c r="B402" s="357">
        <f t="shared" ca="1" si="181"/>
        <v>3.9799999999999591</v>
      </c>
      <c r="C402" s="342"/>
      <c r="D402" s="359">
        <f t="shared" ca="1" si="182"/>
        <v>-2.0844974983844131</v>
      </c>
      <c r="E402" s="360">
        <f t="shared" ca="1" si="183"/>
        <v>-18.046887587129323</v>
      </c>
      <c r="F402" s="357">
        <f t="shared" ca="1" si="184"/>
        <v>18.166873187294872</v>
      </c>
      <c r="G402" s="359">
        <f t="shared" ca="1" si="185"/>
        <v>40.83724424769035</v>
      </c>
      <c r="H402" s="360">
        <f t="shared" ca="1" si="186"/>
        <v>161.27018683990912</v>
      </c>
      <c r="I402" s="357">
        <f t="shared" ca="1" si="187"/>
        <v>166.36031281866693</v>
      </c>
      <c r="J402" s="359">
        <f t="shared" ca="1" si="188"/>
        <v>104.20783107135361</v>
      </c>
      <c r="K402" s="360">
        <f t="shared" ca="1" si="189"/>
        <v>452.73823433399667</v>
      </c>
      <c r="L402" s="357">
        <f t="shared" ca="1" si="174"/>
        <v>464.57634559290756</v>
      </c>
      <c r="M402" s="359">
        <f t="shared" ca="1" si="190"/>
        <v>1.3227870043008878</v>
      </c>
      <c r="N402" s="357">
        <f t="shared" ca="1" si="191"/>
        <v>75.790112541194347</v>
      </c>
      <c r="O402" s="343"/>
      <c r="P402" s="363">
        <f t="shared" ca="1" si="192"/>
        <v>23</v>
      </c>
      <c r="Q402" s="357">
        <f t="shared" ca="1" si="193"/>
        <v>0</v>
      </c>
      <c r="R402" s="359">
        <f t="shared" ca="1" si="194"/>
        <v>0</v>
      </c>
      <c r="S402" s="360">
        <f t="shared" ca="1" si="195"/>
        <v>8.6519999999999992</v>
      </c>
      <c r="T402" s="357">
        <f t="shared" ca="1" si="175"/>
        <v>84.87612</v>
      </c>
      <c r="U402" s="364">
        <f t="shared" ca="1" si="176"/>
        <v>0</v>
      </c>
      <c r="V402" s="359">
        <f t="shared" ca="1" si="177"/>
        <v>1.1707672287490454</v>
      </c>
      <c r="W402" s="357">
        <f t="shared" ca="1" si="178"/>
        <v>73.341473651859857</v>
      </c>
      <c r="X402" s="343"/>
      <c r="Y402" s="367" t="str">
        <f t="shared" ca="1" si="196"/>
        <v/>
      </c>
      <c r="Z402" s="368" t="str">
        <f t="shared" ca="1" si="197"/>
        <v/>
      </c>
      <c r="AA402" s="369" t="str">
        <f t="shared" ca="1" si="198"/>
        <v/>
      </c>
      <c r="AB402" s="344"/>
      <c r="AC402" s="363" t="e">
        <f t="shared" ca="1" si="199"/>
        <v>#N/A</v>
      </c>
      <c r="AD402" s="376" t="e">
        <f t="shared" ca="1" si="200"/>
        <v>#N/A</v>
      </c>
      <c r="AE402" s="377">
        <f t="shared" ca="1" si="179"/>
        <v>452.73823433399667</v>
      </c>
      <c r="AF402" s="344"/>
      <c r="AG402" s="359">
        <f t="shared" ca="1" si="201"/>
        <v>-18.006746745386231</v>
      </c>
      <c r="AH402" s="357">
        <f t="shared" ca="1" si="202"/>
        <v>-8.4965550044577469</v>
      </c>
    </row>
    <row r="403" spans="1:34" x14ac:dyDescent="0.25">
      <c r="A403" s="402">
        <f t="shared" ca="1" si="180"/>
        <v>0.01</v>
      </c>
      <c r="B403" s="357">
        <f t="shared" ca="1" si="181"/>
        <v>3.9899999999999589</v>
      </c>
      <c r="C403" s="342"/>
      <c r="D403" s="359">
        <f t="shared" ca="1" si="182"/>
        <v>-2.0808454276976507</v>
      </c>
      <c r="E403" s="360">
        <f t="shared" ca="1" si="183"/>
        <v>-18.02745779108859</v>
      </c>
      <c r="F403" s="357">
        <f t="shared" ca="1" si="184"/>
        <v>18.147152727175989</v>
      </c>
      <c r="G403" s="359">
        <f t="shared" ca="1" si="185"/>
        <v>40.816435793413376</v>
      </c>
      <c r="H403" s="360">
        <f t="shared" ca="1" si="186"/>
        <v>161.08991226199822</v>
      </c>
      <c r="I403" s="357">
        <f t="shared" ca="1" si="187"/>
        <v>166.1804478976276</v>
      </c>
      <c r="J403" s="359">
        <f t="shared" ca="1" si="188"/>
        <v>104.61609947155912</v>
      </c>
      <c r="K403" s="360">
        <f t="shared" ca="1" si="189"/>
        <v>454.35003482950623</v>
      </c>
      <c r="L403" s="357">
        <f t="shared" ca="1" si="174"/>
        <v>466.23865392974085</v>
      </c>
      <c r="M403" s="359">
        <f t="shared" ca="1" si="190"/>
        <v>1.3226420951595514</v>
      </c>
      <c r="N403" s="357">
        <f t="shared" ca="1" si="191"/>
        <v>75.781809858982911</v>
      </c>
      <c r="O403" s="343"/>
      <c r="P403" s="363">
        <f t="shared" ca="1" si="192"/>
        <v>23</v>
      </c>
      <c r="Q403" s="357">
        <f t="shared" ca="1" si="193"/>
        <v>0</v>
      </c>
      <c r="R403" s="359">
        <f t="shared" ca="1" si="194"/>
        <v>0</v>
      </c>
      <c r="S403" s="360">
        <f t="shared" ca="1" si="195"/>
        <v>8.6519999999999992</v>
      </c>
      <c r="T403" s="357">
        <f t="shared" ca="1" si="175"/>
        <v>84.87612</v>
      </c>
      <c r="U403" s="364">
        <f t="shared" ca="1" si="176"/>
        <v>0</v>
      </c>
      <c r="V403" s="359">
        <f t="shared" ca="1" si="177"/>
        <v>1.1705784425593182</v>
      </c>
      <c r="W403" s="357">
        <f t="shared" ca="1" si="178"/>
        <v>73.171168423000225</v>
      </c>
      <c r="X403" s="343"/>
      <c r="Y403" s="367" t="str">
        <f t="shared" ca="1" si="196"/>
        <v/>
      </c>
      <c r="Z403" s="368" t="str">
        <f t="shared" ca="1" si="197"/>
        <v/>
      </c>
      <c r="AA403" s="369" t="str">
        <f t="shared" ca="1" si="198"/>
        <v/>
      </c>
      <c r="AB403" s="344"/>
      <c r="AC403" s="363" t="e">
        <f t="shared" ca="1" si="199"/>
        <v>#N/A</v>
      </c>
      <c r="AD403" s="376" t="e">
        <f t="shared" ca="1" si="200"/>
        <v>#N/A</v>
      </c>
      <c r="AE403" s="377">
        <f t="shared" ca="1" si="179"/>
        <v>454.35003482950623</v>
      </c>
      <c r="AF403" s="344"/>
      <c r="AG403" s="359">
        <f t="shared" ca="1" si="201"/>
        <v>-17.986666582261051</v>
      </c>
      <c r="AH403" s="357">
        <f t="shared" ca="1" si="202"/>
        <v>-8.4768231220365085</v>
      </c>
    </row>
    <row r="404" spans="1:34" x14ac:dyDescent="0.25">
      <c r="A404" s="402">
        <f t="shared" ca="1" si="180"/>
        <v>0.01</v>
      </c>
      <c r="B404" s="357">
        <f t="shared" ca="1" si="181"/>
        <v>3.9999999999999587</v>
      </c>
      <c r="C404" s="342"/>
      <c r="D404" s="359">
        <f t="shared" ca="1" si="182"/>
        <v>-2.0772015229503036</v>
      </c>
      <c r="E404" s="360">
        <f t="shared" ca="1" si="183"/>
        <v>-18.008075225778313</v>
      </c>
      <c r="F404" s="357">
        <f t="shared" ca="1" si="184"/>
        <v>18.127480230419167</v>
      </c>
      <c r="G404" s="359">
        <f t="shared" ca="1" si="185"/>
        <v>40.795663778183872</v>
      </c>
      <c r="H404" s="360">
        <f t="shared" ca="1" si="186"/>
        <v>160.90983150974043</v>
      </c>
      <c r="I404" s="357">
        <f t="shared" ca="1" si="187"/>
        <v>166.00078331018707</v>
      </c>
      <c r="J404" s="359">
        <f t="shared" ca="1" si="188"/>
        <v>105.02415996941711</v>
      </c>
      <c r="K404" s="360">
        <f t="shared" ca="1" si="189"/>
        <v>455.96003354836495</v>
      </c>
      <c r="L404" s="357">
        <f t="shared" ca="1" si="174"/>
        <v>467.89916260953902</v>
      </c>
      <c r="M404" s="359">
        <f t="shared" ca="1" si="190"/>
        <v>1.322496946167413</v>
      </c>
      <c r="N404" s="357">
        <f t="shared" ca="1" si="191"/>
        <v>75.773493434332792</v>
      </c>
      <c r="O404" s="343"/>
      <c r="P404" s="363">
        <f t="shared" ca="1" si="192"/>
        <v>23</v>
      </c>
      <c r="Q404" s="357">
        <f t="shared" ca="1" si="193"/>
        <v>0</v>
      </c>
      <c r="R404" s="359">
        <f t="shared" ca="1" si="194"/>
        <v>0</v>
      </c>
      <c r="S404" s="360">
        <f t="shared" ca="1" si="195"/>
        <v>8.6519999999999992</v>
      </c>
      <c r="T404" s="357">
        <f t="shared" ca="1" si="175"/>
        <v>84.87612</v>
      </c>
      <c r="U404" s="364">
        <f t="shared" ca="1" si="176"/>
        <v>0</v>
      </c>
      <c r="V404" s="359">
        <f t="shared" ca="1" si="177"/>
        <v>1.1703898971076685</v>
      </c>
      <c r="W404" s="357">
        <f t="shared" ca="1" si="178"/>
        <v>73.001276935391942</v>
      </c>
      <c r="X404" s="343"/>
      <c r="Y404" s="367" t="str">
        <f t="shared" ca="1" si="196"/>
        <v/>
      </c>
      <c r="Z404" s="368" t="str">
        <f t="shared" ca="1" si="197"/>
        <v/>
      </c>
      <c r="AA404" s="369" t="str">
        <f t="shared" ca="1" si="198"/>
        <v/>
      </c>
      <c r="AB404" s="344"/>
      <c r="AC404" s="363">
        <f t="shared" ca="1" si="199"/>
        <v>3.9999999999999587</v>
      </c>
      <c r="AD404" s="376">
        <f t="shared" ca="1" si="200"/>
        <v>105.02415996941711</v>
      </c>
      <c r="AE404" s="377">
        <f t="shared" ca="1" si="179"/>
        <v>455.96003354836495</v>
      </c>
      <c r="AF404" s="344"/>
      <c r="AG404" s="359">
        <f t="shared" ca="1" si="201"/>
        <v>-17.966633611186687</v>
      </c>
      <c r="AH404" s="357">
        <f t="shared" ca="1" si="202"/>
        <v>-8.4571392074665077</v>
      </c>
    </row>
    <row r="405" spans="1:34" x14ac:dyDescent="0.25">
      <c r="A405" s="402">
        <f t="shared" ca="1" si="180"/>
        <v>0.1</v>
      </c>
      <c r="B405" s="357">
        <f t="shared" ca="1" si="181"/>
        <v>4.0999999999999588</v>
      </c>
      <c r="C405" s="342"/>
      <c r="D405" s="359">
        <f t="shared" ca="1" si="182"/>
        <v>-2.073565758362871</v>
      </c>
      <c r="E405" s="360">
        <f t="shared" ca="1" si="183"/>
        <v>-17.988739745888516</v>
      </c>
      <c r="F405" s="357">
        <f t="shared" ca="1" si="184"/>
        <v>18.107855549444949</v>
      </c>
      <c r="G405" s="359">
        <f t="shared" ca="1" si="185"/>
        <v>40.588307202347586</v>
      </c>
      <c r="H405" s="360">
        <f t="shared" ca="1" si="186"/>
        <v>159.11095753515158</v>
      </c>
      <c r="I405" s="357">
        <f t="shared" ca="1" si="187"/>
        <v>164.20629552275074</v>
      </c>
      <c r="J405" s="359">
        <f t="shared" ca="1" si="188"/>
        <v>109.09335851844368</v>
      </c>
      <c r="K405" s="360">
        <f t="shared" ca="1" si="189"/>
        <v>471.96107300060953</v>
      </c>
      <c r="L405" s="357">
        <f t="shared" ca="1" si="174"/>
        <v>484.40542451620047</v>
      </c>
      <c r="M405" s="359">
        <f t="shared" ca="1" si="190"/>
        <v>1.3210287529064211</v>
      </c>
      <c r="N405" s="357">
        <f t="shared" ca="1" si="191"/>
        <v>75.689372156968417</v>
      </c>
      <c r="O405" s="343"/>
      <c r="P405" s="363">
        <f t="shared" ca="1" si="192"/>
        <v>23</v>
      </c>
      <c r="Q405" s="357">
        <f t="shared" ca="1" si="193"/>
        <v>0</v>
      </c>
      <c r="R405" s="359">
        <f t="shared" ca="1" si="194"/>
        <v>0</v>
      </c>
      <c r="S405" s="360">
        <f t="shared" ca="1" si="195"/>
        <v>8.6519999999999992</v>
      </c>
      <c r="T405" s="357">
        <f t="shared" ca="1" si="175"/>
        <v>84.87612</v>
      </c>
      <c r="U405" s="364">
        <f t="shared" ca="1" si="176"/>
        <v>0</v>
      </c>
      <c r="V405" s="359">
        <f t="shared" ca="1" si="177"/>
        <v>1.1685176422655239</v>
      </c>
      <c r="W405" s="357">
        <f t="shared" ca="1" si="178"/>
        <v>71.317235279294565</v>
      </c>
      <c r="X405" s="343"/>
      <c r="Y405" s="367" t="str">
        <f t="shared" ca="1" si="196"/>
        <v/>
      </c>
      <c r="Z405" s="368" t="str">
        <f t="shared" ca="1" si="197"/>
        <v/>
      </c>
      <c r="AA405" s="369" t="str">
        <f t="shared" ca="1" si="198"/>
        <v/>
      </c>
      <c r="AB405" s="344"/>
      <c r="AC405" s="363" t="e">
        <f t="shared" ca="1" si="199"/>
        <v>#N/A</v>
      </c>
      <c r="AD405" s="376" t="e">
        <f t="shared" ca="1" si="200"/>
        <v>#N/A</v>
      </c>
      <c r="AE405" s="377">
        <f t="shared" ca="1" si="179"/>
        <v>471.96107300060953</v>
      </c>
      <c r="AF405" s="344"/>
      <c r="AG405" s="359">
        <f t="shared" ca="1" si="201"/>
        <v>-17.946647682479913</v>
      </c>
      <c r="AH405" s="357">
        <f t="shared" ca="1" si="202"/>
        <v>-8.4375031131983302</v>
      </c>
    </row>
    <row r="406" spans="1:34" x14ac:dyDescent="0.25">
      <c r="A406" s="402">
        <f t="shared" ca="1" si="180"/>
        <v>0.1</v>
      </c>
      <c r="B406" s="357">
        <f t="shared" ca="1" si="181"/>
        <v>4.1999999999999584</v>
      </c>
      <c r="C406" s="342"/>
      <c r="D406" s="359">
        <f t="shared" ca="1" si="182"/>
        <v>-2.0374601496043523</v>
      </c>
      <c r="E406" s="360">
        <f t="shared" ca="1" si="183"/>
        <v>-17.797084401601044</v>
      </c>
      <c r="F406" s="357">
        <f t="shared" ca="1" si="184"/>
        <v>17.913331824619814</v>
      </c>
      <c r="G406" s="359">
        <f t="shared" ca="1" si="185"/>
        <v>40.384561187387149</v>
      </c>
      <c r="H406" s="360">
        <f t="shared" ca="1" si="186"/>
        <v>157.33124909499148</v>
      </c>
      <c r="I406" s="357">
        <f t="shared" ca="1" si="187"/>
        <v>162.43163092233013</v>
      </c>
      <c r="J406" s="359">
        <f t="shared" ca="1" si="188"/>
        <v>113.14200193793042</v>
      </c>
      <c r="K406" s="360">
        <f t="shared" ca="1" si="189"/>
        <v>487.78318333211666</v>
      </c>
      <c r="L406" s="357">
        <f t="shared" ca="1" si="174"/>
        <v>500.73300924158775</v>
      </c>
      <c r="M406" s="359">
        <f t="shared" ca="1" si="190"/>
        <v>1.3195359251583689</v>
      </c>
      <c r="N406" s="357">
        <f t="shared" ca="1" si="191"/>
        <v>75.603839427465005</v>
      </c>
      <c r="O406" s="343"/>
      <c r="P406" s="363">
        <f t="shared" ca="1" si="192"/>
        <v>23</v>
      </c>
      <c r="Q406" s="357">
        <f t="shared" ca="1" si="193"/>
        <v>0</v>
      </c>
      <c r="R406" s="359">
        <f t="shared" ca="1" si="194"/>
        <v>0</v>
      </c>
      <c r="S406" s="360">
        <f t="shared" ca="1" si="195"/>
        <v>8.6519999999999992</v>
      </c>
      <c r="T406" s="357">
        <f t="shared" ca="1" si="175"/>
        <v>84.87612</v>
      </c>
      <c r="U406" s="364">
        <f t="shared" ca="1" si="176"/>
        <v>0</v>
      </c>
      <c r="V406" s="359">
        <f t="shared" ca="1" si="177"/>
        <v>1.1666691992262033</v>
      </c>
      <c r="W406" s="357">
        <f t="shared" ca="1" si="178"/>
        <v>69.67364960957498</v>
      </c>
      <c r="X406" s="343"/>
      <c r="Y406" s="367" t="str">
        <f t="shared" ca="1" si="196"/>
        <v/>
      </c>
      <c r="Z406" s="368" t="str">
        <f t="shared" ca="1" si="197"/>
        <v/>
      </c>
      <c r="AA406" s="369" t="str">
        <f t="shared" ca="1" si="198"/>
        <v/>
      </c>
      <c r="AB406" s="344"/>
      <c r="AC406" s="363" t="e">
        <f t="shared" ca="1" si="199"/>
        <v>#N/A</v>
      </c>
      <c r="AD406" s="376" t="e">
        <f t="shared" ca="1" si="200"/>
        <v>#N/A</v>
      </c>
      <c r="AE406" s="377">
        <f t="shared" ca="1" si="179"/>
        <v>487.78318333211666</v>
      </c>
      <c r="AF406" s="344"/>
      <c r="AG406" s="359">
        <f t="shared" ca="1" si="201"/>
        <v>-17.748455926487569</v>
      </c>
      <c r="AH406" s="357">
        <f t="shared" ca="1" si="202"/>
        <v>-8.2428612204455121</v>
      </c>
    </row>
    <row r="407" spans="1:34" x14ac:dyDescent="0.25">
      <c r="A407" s="402">
        <f t="shared" ca="1" si="180"/>
        <v>0.1</v>
      </c>
      <c r="B407" s="357">
        <f t="shared" ca="1" si="181"/>
        <v>4.2999999999999581</v>
      </c>
      <c r="C407" s="342"/>
      <c r="D407" s="359">
        <f t="shared" ca="1" si="182"/>
        <v>-2.0021509276027349</v>
      </c>
      <c r="E407" s="360">
        <f t="shared" ca="1" si="183"/>
        <v>-17.610032909972908</v>
      </c>
      <c r="F407" s="357">
        <f t="shared" ca="1" si="184"/>
        <v>17.723483501479876</v>
      </c>
      <c r="G407" s="359">
        <f t="shared" ca="1" si="185"/>
        <v>40.184346094626875</v>
      </c>
      <c r="H407" s="360">
        <f t="shared" ca="1" si="186"/>
        <v>155.5702458039942</v>
      </c>
      <c r="I407" s="357">
        <f t="shared" ca="1" si="187"/>
        <v>160.67633008806223</v>
      </c>
      <c r="J407" s="359">
        <f t="shared" ca="1" si="188"/>
        <v>117.17044730203112</v>
      </c>
      <c r="K407" s="360">
        <f t="shared" ca="1" si="189"/>
        <v>503.42825807706595</v>
      </c>
      <c r="L407" s="357">
        <f t="shared" ca="1" si="174"/>
        <v>516.88386002221716</v>
      </c>
      <c r="M407" s="359">
        <f t="shared" ca="1" si="190"/>
        <v>1.3180179591946897</v>
      </c>
      <c r="N407" s="357">
        <f t="shared" ca="1" si="191"/>
        <v>75.516866384301679</v>
      </c>
      <c r="O407" s="343"/>
      <c r="P407" s="363">
        <f t="shared" ca="1" si="192"/>
        <v>23</v>
      </c>
      <c r="Q407" s="357">
        <f t="shared" ca="1" si="193"/>
        <v>0</v>
      </c>
      <c r="R407" s="359">
        <f t="shared" ca="1" si="194"/>
        <v>0</v>
      </c>
      <c r="S407" s="360">
        <f t="shared" ca="1" si="195"/>
        <v>8.6519999999999992</v>
      </c>
      <c r="T407" s="357">
        <f t="shared" ca="1" si="175"/>
        <v>84.87612</v>
      </c>
      <c r="U407" s="364">
        <f t="shared" ca="1" si="176"/>
        <v>0</v>
      </c>
      <c r="V407" s="359">
        <f t="shared" ca="1" si="177"/>
        <v>1.1648442437643116</v>
      </c>
      <c r="W407" s="357">
        <f t="shared" ca="1" si="178"/>
        <v>68.069299794155995</v>
      </c>
      <c r="X407" s="343"/>
      <c r="Y407" s="367" t="str">
        <f t="shared" ca="1" si="196"/>
        <v/>
      </c>
      <c r="Z407" s="368" t="str">
        <f t="shared" ca="1" si="197"/>
        <v/>
      </c>
      <c r="AA407" s="369" t="str">
        <f t="shared" ca="1" si="198"/>
        <v/>
      </c>
      <c r="AB407" s="344"/>
      <c r="AC407" s="363" t="e">
        <f t="shared" ca="1" si="199"/>
        <v>#N/A</v>
      </c>
      <c r="AD407" s="376" t="e">
        <f t="shared" ca="1" si="200"/>
        <v>#N/A</v>
      </c>
      <c r="AE407" s="377">
        <f t="shared" ca="1" si="179"/>
        <v>503.42825807706595</v>
      </c>
      <c r="AF407" s="344"/>
      <c r="AG407" s="359">
        <f t="shared" ca="1" si="201"/>
        <v>-17.554859510926079</v>
      </c>
      <c r="AH407" s="357">
        <f t="shared" ca="1" si="202"/>
        <v>-8.0528952392019164</v>
      </c>
    </row>
    <row r="408" spans="1:34" x14ac:dyDescent="0.25">
      <c r="A408" s="402">
        <f t="shared" ca="1" si="180"/>
        <v>0.1</v>
      </c>
      <c r="B408" s="357">
        <f t="shared" ca="1" si="181"/>
        <v>4.3999999999999577</v>
      </c>
      <c r="C408" s="342"/>
      <c r="D408" s="359">
        <f t="shared" ca="1" si="182"/>
        <v>-1.9676134124449196</v>
      </c>
      <c r="E408" s="360">
        <f t="shared" ca="1" si="183"/>
        <v>-17.427446393191936</v>
      </c>
      <c r="F408" s="357">
        <f t="shared" ca="1" si="184"/>
        <v>17.53816952616241</v>
      </c>
      <c r="G408" s="359">
        <f t="shared" ca="1" si="185"/>
        <v>39.987584753382386</v>
      </c>
      <c r="H408" s="360">
        <f t="shared" ca="1" si="186"/>
        <v>153.827501164675</v>
      </c>
      <c r="I408" s="357">
        <f t="shared" ca="1" si="187"/>
        <v>158.93994793310154</v>
      </c>
      <c r="J408" s="359">
        <f t="shared" ca="1" si="188"/>
        <v>121.17904384443159</v>
      </c>
      <c r="K408" s="360">
        <f t="shared" ca="1" si="189"/>
        <v>518.89814542549937</v>
      </c>
      <c r="L408" s="357">
        <f t="shared" ca="1" si="174"/>
        <v>532.85987463222773</v>
      </c>
      <c r="M408" s="359">
        <f t="shared" ca="1" si="190"/>
        <v>1.3164743366411451</v>
      </c>
      <c r="N408" s="357">
        <f t="shared" ca="1" si="191"/>
        <v>75.428423326822369</v>
      </c>
      <c r="O408" s="343"/>
      <c r="P408" s="363">
        <f t="shared" ca="1" si="192"/>
        <v>23</v>
      </c>
      <c r="Q408" s="357">
        <f t="shared" ca="1" si="193"/>
        <v>0</v>
      </c>
      <c r="R408" s="359">
        <f t="shared" ca="1" si="194"/>
        <v>0</v>
      </c>
      <c r="S408" s="360">
        <f t="shared" ca="1" si="195"/>
        <v>8.6519999999999992</v>
      </c>
      <c r="T408" s="357">
        <f t="shared" ca="1" si="175"/>
        <v>84.87612</v>
      </c>
      <c r="U408" s="364">
        <f t="shared" ca="1" si="176"/>
        <v>0</v>
      </c>
      <c r="V408" s="359">
        <f t="shared" ca="1" si="177"/>
        <v>1.1630424598200999</v>
      </c>
      <c r="W408" s="357">
        <f t="shared" ca="1" si="178"/>
        <v>66.503012806877919</v>
      </c>
      <c r="X408" s="343"/>
      <c r="Y408" s="367" t="str">
        <f t="shared" ca="1" si="196"/>
        <v/>
      </c>
      <c r="Z408" s="368" t="str">
        <f t="shared" ca="1" si="197"/>
        <v/>
      </c>
      <c r="AA408" s="369" t="str">
        <f t="shared" ca="1" si="198"/>
        <v/>
      </c>
      <c r="AB408" s="344"/>
      <c r="AC408" s="363" t="e">
        <f t="shared" ca="1" si="199"/>
        <v>#N/A</v>
      </c>
      <c r="AD408" s="376" t="e">
        <f t="shared" ca="1" si="200"/>
        <v>#N/A</v>
      </c>
      <c r="AE408" s="377">
        <f t="shared" ca="1" si="179"/>
        <v>518.89814542549937</v>
      </c>
      <c r="AF408" s="344"/>
      <c r="AG408" s="359">
        <f t="shared" ca="1" si="201"/>
        <v>-17.365715136396599</v>
      </c>
      <c r="AH408" s="357">
        <f t="shared" ca="1" si="202"/>
        <v>-7.8674641463425798</v>
      </c>
    </row>
    <row r="409" spans="1:34" x14ac:dyDescent="0.25">
      <c r="A409" s="402">
        <f t="shared" ca="1" si="180"/>
        <v>0.1</v>
      </c>
      <c r="B409" s="357">
        <f t="shared" ca="1" si="181"/>
        <v>4.4999999999999574</v>
      </c>
      <c r="C409" s="342"/>
      <c r="D409" s="359">
        <f t="shared" ca="1" si="182"/>
        <v>-1.9338238723102539</v>
      </c>
      <c r="E409" s="360">
        <f t="shared" ca="1" si="183"/>
        <v>-17.24919133412827</v>
      </c>
      <c r="F409" s="357">
        <f t="shared" ca="1" si="184"/>
        <v>17.357254288927233</v>
      </c>
      <c r="G409" s="359">
        <f t="shared" ca="1" si="185"/>
        <v>39.79420236615136</v>
      </c>
      <c r="H409" s="360">
        <f t="shared" ca="1" si="186"/>
        <v>152.10258203126216</v>
      </c>
      <c r="I409" s="357">
        <f t="shared" ca="1" si="187"/>
        <v>157.22205316855215</v>
      </c>
      <c r="J409" s="359">
        <f t="shared" ca="1" si="188"/>
        <v>125.16813320040828</v>
      </c>
      <c r="K409" s="360">
        <f t="shared" ca="1" si="189"/>
        <v>534.19464958529625</v>
      </c>
      <c r="L409" s="357">
        <f t="shared" ca="1" si="174"/>
        <v>548.66290672363903</v>
      </c>
      <c r="M409" s="359">
        <f t="shared" ca="1" si="190"/>
        <v>1.3149045239729136</v>
      </c>
      <c r="N409" s="357">
        <f t="shared" ca="1" si="191"/>
        <v>75.338479686306528</v>
      </c>
      <c r="O409" s="343"/>
      <c r="P409" s="363">
        <f t="shared" ca="1" si="192"/>
        <v>23</v>
      </c>
      <c r="Q409" s="357">
        <f t="shared" ca="1" si="193"/>
        <v>0</v>
      </c>
      <c r="R409" s="359">
        <f t="shared" ca="1" si="194"/>
        <v>0</v>
      </c>
      <c r="S409" s="360">
        <f t="shared" ca="1" si="195"/>
        <v>8.6519999999999992</v>
      </c>
      <c r="T409" s="357">
        <f t="shared" ca="1" si="175"/>
        <v>84.87612</v>
      </c>
      <c r="U409" s="364">
        <f t="shared" ca="1" si="176"/>
        <v>0</v>
      </c>
      <c r="V409" s="359">
        <f t="shared" ca="1" si="177"/>
        <v>1.1612635392418271</v>
      </c>
      <c r="W409" s="357">
        <f t="shared" ca="1" si="178"/>
        <v>64.97366056282273</v>
      </c>
      <c r="X409" s="343"/>
      <c r="Y409" s="367" t="str">
        <f t="shared" ca="1" si="196"/>
        <v/>
      </c>
      <c r="Z409" s="368" t="str">
        <f t="shared" ca="1" si="197"/>
        <v/>
      </c>
      <c r="AA409" s="369" t="str">
        <f t="shared" ca="1" si="198"/>
        <v/>
      </c>
      <c r="AB409" s="344"/>
      <c r="AC409" s="363" t="e">
        <f t="shared" ca="1" si="199"/>
        <v>#N/A</v>
      </c>
      <c r="AD409" s="376" t="e">
        <f t="shared" ca="1" si="200"/>
        <v>#N/A</v>
      </c>
      <c r="AE409" s="377">
        <f t="shared" ca="1" si="179"/>
        <v>534.19464958529625</v>
      </c>
      <c r="AF409" s="344"/>
      <c r="AG409" s="359">
        <f t="shared" ca="1" si="201"/>
        <v>-17.180884865910571</v>
      </c>
      <c r="AH409" s="357">
        <f t="shared" ca="1" si="202"/>
        <v>-7.6864323632544993</v>
      </c>
    </row>
    <row r="410" spans="1:34" x14ac:dyDescent="0.25">
      <c r="A410" s="402">
        <f t="shared" ca="1" si="180"/>
        <v>0.1</v>
      </c>
      <c r="B410" s="357">
        <f t="shared" ca="1" si="181"/>
        <v>4.599999999999957</v>
      </c>
      <c r="C410" s="342"/>
      <c r="D410" s="359">
        <f t="shared" ca="1" si="182"/>
        <v>-1.9007594799063849</v>
      </c>
      <c r="E410" s="360">
        <f t="shared" ca="1" si="183"/>
        <v>-17.07513932994609</v>
      </c>
      <c r="F410" s="357">
        <f t="shared" ca="1" si="184"/>
        <v>17.180607373941289</v>
      </c>
      <c r="G410" s="359">
        <f t="shared" ca="1" si="185"/>
        <v>39.604126418160725</v>
      </c>
      <c r="H410" s="360">
        <f t="shared" ca="1" si="186"/>
        <v>150.39506809826756</v>
      </c>
      <c r="I410" s="357">
        <f t="shared" ca="1" si="187"/>
        <v>155.52222779277628</v>
      </c>
      <c r="J410" s="359">
        <f t="shared" ca="1" si="188"/>
        <v>129.13804963962389</v>
      </c>
      <c r="K410" s="360">
        <f t="shared" ca="1" si="189"/>
        <v>549.31953209177277</v>
      </c>
      <c r="L410" s="357">
        <f t="shared" ca="1" si="174"/>
        <v>564.29476712286657</v>
      </c>
      <c r="M410" s="359">
        <f t="shared" ca="1" si="190"/>
        <v>1.3133079719887284</v>
      </c>
      <c r="N410" s="357">
        <f t="shared" ca="1" si="191"/>
        <v>75.247003995839478</v>
      </c>
      <c r="O410" s="343"/>
      <c r="P410" s="363">
        <f t="shared" ca="1" si="192"/>
        <v>23</v>
      </c>
      <c r="Q410" s="357">
        <f t="shared" ca="1" si="193"/>
        <v>0</v>
      </c>
      <c r="R410" s="359">
        <f t="shared" ca="1" si="194"/>
        <v>0</v>
      </c>
      <c r="S410" s="360">
        <f t="shared" ca="1" si="195"/>
        <v>8.6519999999999992</v>
      </c>
      <c r="T410" s="357">
        <f t="shared" ca="1" si="175"/>
        <v>84.87612</v>
      </c>
      <c r="U410" s="364">
        <f t="shared" ca="1" si="176"/>
        <v>0</v>
      </c>
      <c r="V410" s="359">
        <f t="shared" ca="1" si="177"/>
        <v>1.1595071815383931</v>
      </c>
      <c r="W410" s="357">
        <f t="shared" ca="1" si="178"/>
        <v>63.480157869611432</v>
      </c>
      <c r="X410" s="343"/>
      <c r="Y410" s="367" t="str">
        <f t="shared" ca="1" si="196"/>
        <v/>
      </c>
      <c r="Z410" s="368" t="str">
        <f t="shared" ca="1" si="197"/>
        <v/>
      </c>
      <c r="AA410" s="369" t="str">
        <f t="shared" ca="1" si="198"/>
        <v/>
      </c>
      <c r="AB410" s="344"/>
      <c r="AC410" s="363" t="e">
        <f t="shared" ca="1" si="199"/>
        <v>#N/A</v>
      </c>
      <c r="AD410" s="376" t="e">
        <f t="shared" ca="1" si="200"/>
        <v>#N/A</v>
      </c>
      <c r="AE410" s="377">
        <f t="shared" ca="1" si="179"/>
        <v>549.31953209177277</v>
      </c>
      <c r="AF410" s="344"/>
      <c r="AG410" s="359">
        <f t="shared" ca="1" si="201"/>
        <v>-17.000235871208886</v>
      </c>
      <c r="AH410" s="357">
        <f t="shared" ca="1" si="202"/>
        <v>-7.5096695056429423</v>
      </c>
    </row>
    <row r="411" spans="1:34" x14ac:dyDescent="0.25">
      <c r="A411" s="402">
        <f t="shared" ca="1" si="180"/>
        <v>0.1</v>
      </c>
      <c r="B411" s="357">
        <f t="shared" ca="1" si="181"/>
        <v>4.6999999999999567</v>
      </c>
      <c r="C411" s="342"/>
      <c r="D411" s="359">
        <f t="shared" ca="1" si="182"/>
        <v>-1.868398271243451</v>
      </c>
      <c r="E411" s="360">
        <f t="shared" ca="1" si="183"/>
        <v>-16.905166858913233</v>
      </c>
      <c r="F411" s="357">
        <f t="shared" ca="1" si="184"/>
        <v>17.008103322466141</v>
      </c>
      <c r="G411" s="359">
        <f t="shared" ca="1" si="185"/>
        <v>39.41728659103638</v>
      </c>
      <c r="H411" s="360">
        <f t="shared" ca="1" si="186"/>
        <v>148.70455141237625</v>
      </c>
      <c r="I411" s="357">
        <f t="shared" ca="1" si="187"/>
        <v>153.8400666047566</v>
      </c>
      <c r="J411" s="359">
        <f t="shared" ca="1" si="188"/>
        <v>133.08912029008374</v>
      </c>
      <c r="K411" s="360">
        <f t="shared" ca="1" si="189"/>
        <v>564.27451306730495</v>
      </c>
      <c r="L411" s="357">
        <f t="shared" ca="1" si="174"/>
        <v>579.7572250838557</v>
      </c>
      <c r="M411" s="359">
        <f t="shared" ca="1" si="190"/>
        <v>1.3116841152630818</v>
      </c>
      <c r="N411" s="357">
        <f t="shared" ca="1" si="191"/>
        <v>75.153963858925991</v>
      </c>
      <c r="O411" s="343"/>
      <c r="P411" s="363">
        <f t="shared" ca="1" si="192"/>
        <v>23</v>
      </c>
      <c r="Q411" s="357">
        <f t="shared" ca="1" si="193"/>
        <v>0</v>
      </c>
      <c r="R411" s="359">
        <f t="shared" ca="1" si="194"/>
        <v>0</v>
      </c>
      <c r="S411" s="360">
        <f t="shared" ca="1" si="195"/>
        <v>8.6519999999999992</v>
      </c>
      <c r="T411" s="357">
        <f t="shared" ca="1" si="175"/>
        <v>84.87612</v>
      </c>
      <c r="U411" s="364">
        <f t="shared" ca="1" si="176"/>
        <v>0</v>
      </c>
      <c r="V411" s="359">
        <f t="shared" ca="1" si="177"/>
        <v>1.1577730936417707</v>
      </c>
      <c r="W411" s="357">
        <f t="shared" ca="1" si="178"/>
        <v>62.021460487609694</v>
      </c>
      <c r="X411" s="343"/>
      <c r="Y411" s="367" t="str">
        <f t="shared" ca="1" si="196"/>
        <v/>
      </c>
      <c r="Z411" s="368" t="str">
        <f t="shared" ca="1" si="197"/>
        <v/>
      </c>
      <c r="AA411" s="369" t="str">
        <f t="shared" ca="1" si="198"/>
        <v/>
      </c>
      <c r="AB411" s="344"/>
      <c r="AC411" s="363" t="e">
        <f t="shared" ca="1" si="199"/>
        <v>#N/A</v>
      </c>
      <c r="AD411" s="376" t="e">
        <f t="shared" ca="1" si="200"/>
        <v>#N/A</v>
      </c>
      <c r="AE411" s="377">
        <f t="shared" ca="1" si="179"/>
        <v>564.27451306730495</v>
      </c>
      <c r="AF411" s="344"/>
      <c r="AG411" s="359">
        <f t="shared" ca="1" si="201"/>
        <v>-16.823640192313139</v>
      </c>
      <c r="AH411" s="357">
        <f t="shared" ca="1" si="202"/>
        <v>-7.3370501467419595</v>
      </c>
    </row>
    <row r="412" spans="1:34" x14ac:dyDescent="0.25">
      <c r="A412" s="402">
        <f t="shared" ca="1" si="180"/>
        <v>0.1</v>
      </c>
      <c r="B412" s="357">
        <f t="shared" ca="1" si="181"/>
        <v>4.7999999999999563</v>
      </c>
      <c r="C412" s="342"/>
      <c r="D412" s="359">
        <f t="shared" ca="1" si="182"/>
        <v>-1.8367191066044757</v>
      </c>
      <c r="E412" s="360">
        <f t="shared" ca="1" si="183"/>
        <v>-16.739155059604464</v>
      </c>
      <c r="F412" s="357">
        <f t="shared" ca="1" si="184"/>
        <v>16.839621408631714</v>
      </c>
      <c r="G412" s="359">
        <f t="shared" ca="1" si="185"/>
        <v>39.233614680375929</v>
      </c>
      <c r="H412" s="360">
        <f t="shared" ca="1" si="186"/>
        <v>147.0306359064158</v>
      </c>
      <c r="I412" s="357">
        <f t="shared" ca="1" si="187"/>
        <v>152.17517674027263</v>
      </c>
      <c r="J412" s="359">
        <f t="shared" ca="1" si="188"/>
        <v>137.02166535365436</v>
      </c>
      <c r="K412" s="360">
        <f t="shared" ca="1" si="189"/>
        <v>579.06127243324454</v>
      </c>
      <c r="L412" s="357">
        <f t="shared" ca="1" si="174"/>
        <v>595.0520094985792</v>
      </c>
      <c r="M412" s="359">
        <f t="shared" ca="1" si="190"/>
        <v>1.310032371575464</v>
      </c>
      <c r="N412" s="357">
        <f t="shared" ca="1" si="191"/>
        <v>75.059325916788126</v>
      </c>
      <c r="O412" s="343"/>
      <c r="P412" s="363">
        <f t="shared" ca="1" si="192"/>
        <v>23</v>
      </c>
      <c r="Q412" s="357">
        <f t="shared" ca="1" si="193"/>
        <v>0</v>
      </c>
      <c r="R412" s="359">
        <f t="shared" ca="1" si="194"/>
        <v>0</v>
      </c>
      <c r="S412" s="360">
        <f t="shared" ca="1" si="195"/>
        <v>8.6519999999999992</v>
      </c>
      <c r="T412" s="357">
        <f t="shared" ca="1" si="175"/>
        <v>84.87612</v>
      </c>
      <c r="U412" s="364">
        <f t="shared" ca="1" si="176"/>
        <v>0</v>
      </c>
      <c r="V412" s="359">
        <f t="shared" ca="1" si="177"/>
        <v>1.1560609896787724</v>
      </c>
      <c r="W412" s="357">
        <f t="shared" ca="1" si="178"/>
        <v>60.596563292456629</v>
      </c>
      <c r="X412" s="343"/>
      <c r="Y412" s="367" t="str">
        <f t="shared" ca="1" si="196"/>
        <v/>
      </c>
      <c r="Z412" s="368" t="str">
        <f t="shared" ca="1" si="197"/>
        <v/>
      </c>
      <c r="AA412" s="369" t="str">
        <f t="shared" ca="1" si="198"/>
        <v/>
      </c>
      <c r="AB412" s="344"/>
      <c r="AC412" s="363" t="e">
        <f t="shared" ca="1" si="199"/>
        <v>#N/A</v>
      </c>
      <c r="AD412" s="376" t="e">
        <f t="shared" ca="1" si="200"/>
        <v>#N/A</v>
      </c>
      <c r="AE412" s="377">
        <f t="shared" ca="1" si="179"/>
        <v>579.06127243324454</v>
      </c>
      <c r="AF412" s="344"/>
      <c r="AG412" s="359">
        <f t="shared" ca="1" si="201"/>
        <v>-16.650974509482882</v>
      </c>
      <c r="AH412" s="357">
        <f t="shared" ca="1" si="202"/>
        <v>-7.1684535931125408</v>
      </c>
    </row>
    <row r="413" spans="1:34" x14ac:dyDescent="0.25">
      <c r="A413" s="402">
        <f t="shared" ca="1" si="180"/>
        <v>0.1</v>
      </c>
      <c r="B413" s="357">
        <f t="shared" ca="1" si="181"/>
        <v>4.8999999999999559</v>
      </c>
      <c r="C413" s="342"/>
      <c r="D413" s="359">
        <f t="shared" ca="1" si="182"/>
        <v>-1.8057016335794367</v>
      </c>
      <c r="E413" s="360">
        <f t="shared" ca="1" si="183"/>
        <v>-16.576989521748914</v>
      </c>
      <c r="F413" s="357">
        <f t="shared" ca="1" si="184"/>
        <v>16.675045427035116</v>
      </c>
      <c r="G413" s="359">
        <f t="shared" ca="1" si="185"/>
        <v>39.053044517017987</v>
      </c>
      <c r="H413" s="360">
        <f t="shared" ca="1" si="186"/>
        <v>145.37293695424091</v>
      </c>
      <c r="I413" s="357">
        <f t="shared" ca="1" si="187"/>
        <v>150.52717722972784</v>
      </c>
      <c r="J413" s="359">
        <f t="shared" ca="1" si="188"/>
        <v>140.93599831352404</v>
      </c>
      <c r="K413" s="360">
        <f t="shared" ca="1" si="189"/>
        <v>593.68145107627743</v>
      </c>
      <c r="L413" s="357">
        <f t="shared" ca="1" si="174"/>
        <v>610.18081006588864</v>
      </c>
      <c r="M413" s="359">
        <f t="shared" ca="1" si="190"/>
        <v>1.3083521413155494</v>
      </c>
      <c r="N413" s="357">
        <f t="shared" ca="1" si="191"/>
        <v>74.963055814284843</v>
      </c>
      <c r="O413" s="343"/>
      <c r="P413" s="363">
        <f t="shared" ca="1" si="192"/>
        <v>23</v>
      </c>
      <c r="Q413" s="357">
        <f t="shared" ca="1" si="193"/>
        <v>0</v>
      </c>
      <c r="R413" s="359">
        <f t="shared" ca="1" si="194"/>
        <v>0</v>
      </c>
      <c r="S413" s="360">
        <f t="shared" ca="1" si="195"/>
        <v>8.6519999999999992</v>
      </c>
      <c r="T413" s="357">
        <f t="shared" ca="1" si="175"/>
        <v>84.87612</v>
      </c>
      <c r="U413" s="364">
        <f t="shared" ca="1" si="176"/>
        <v>0</v>
      </c>
      <c r="V413" s="359">
        <f t="shared" ca="1" si="177"/>
        <v>1.1543705907517152</v>
      </c>
      <c r="W413" s="357">
        <f t="shared" ca="1" si="178"/>
        <v>59.204498533778185</v>
      </c>
      <c r="X413" s="343"/>
      <c r="Y413" s="367" t="str">
        <f t="shared" ca="1" si="196"/>
        <v/>
      </c>
      <c r="Z413" s="368" t="str">
        <f t="shared" ca="1" si="197"/>
        <v/>
      </c>
      <c r="AA413" s="369" t="str">
        <f t="shared" ca="1" si="198"/>
        <v/>
      </c>
      <c r="AB413" s="344"/>
      <c r="AC413" s="363" t="e">
        <f t="shared" ca="1" si="199"/>
        <v>#N/A</v>
      </c>
      <c r="AD413" s="376" t="e">
        <f t="shared" ca="1" si="200"/>
        <v>#N/A</v>
      </c>
      <c r="AE413" s="377">
        <f t="shared" ca="1" si="179"/>
        <v>593.68145107627743</v>
      </c>
      <c r="AF413" s="344"/>
      <c r="AG413" s="359">
        <f t="shared" ca="1" si="201"/>
        <v>-16.482119926807595</v>
      </c>
      <c r="AH413" s="357">
        <f t="shared" ca="1" si="202"/>
        <v>-7.0037636722672945</v>
      </c>
    </row>
    <row r="414" spans="1:34" x14ac:dyDescent="0.25">
      <c r="A414" s="402">
        <f t="shared" ca="1" si="180"/>
        <v>0.1</v>
      </c>
      <c r="B414" s="357">
        <f t="shared" ca="1" si="181"/>
        <v>4.9999999999999556</v>
      </c>
      <c r="C414" s="342"/>
      <c r="D414" s="359">
        <f t="shared" ca="1" si="182"/>
        <v>-1.7753262520395217</v>
      </c>
      <c r="E414" s="360">
        <f t="shared" ca="1" si="183"/>
        <v>-16.418560088022989</v>
      </c>
      <c r="F414" s="357">
        <f t="shared" ca="1" si="184"/>
        <v>16.514263491454958</v>
      </c>
      <c r="G414" s="359">
        <f t="shared" ca="1" si="185"/>
        <v>38.875511891814035</v>
      </c>
      <c r="H414" s="360">
        <f t="shared" ca="1" si="186"/>
        <v>143.73108094543861</v>
      </c>
      <c r="I414" s="357">
        <f t="shared" ca="1" si="187"/>
        <v>148.89569857653646</v>
      </c>
      <c r="J414" s="359">
        <f t="shared" ca="1" si="188"/>
        <v>144.83242613396564</v>
      </c>
      <c r="K414" s="360">
        <f t="shared" ca="1" si="189"/>
        <v>608.13665197126136</v>
      </c>
      <c r="L414" s="357">
        <f t="shared" ca="1" si="174"/>
        <v>625.14527841987706</v>
      </c>
      <c r="M414" s="359">
        <f t="shared" ca="1" si="190"/>
        <v>1.3066428068631837</v>
      </c>
      <c r="N414" s="357">
        <f t="shared" ca="1" si="191"/>
        <v>74.86511816438798</v>
      </c>
      <c r="O414" s="343"/>
      <c r="P414" s="363">
        <f t="shared" ca="1" si="192"/>
        <v>23</v>
      </c>
      <c r="Q414" s="357">
        <f t="shared" ca="1" si="193"/>
        <v>0</v>
      </c>
      <c r="R414" s="359">
        <f t="shared" ca="1" si="194"/>
        <v>0</v>
      </c>
      <c r="S414" s="360">
        <f t="shared" ca="1" si="195"/>
        <v>8.6519999999999992</v>
      </c>
      <c r="T414" s="357">
        <f t="shared" ca="1" si="175"/>
        <v>84.87612</v>
      </c>
      <c r="U414" s="364">
        <f t="shared" ca="1" si="176"/>
        <v>0</v>
      </c>
      <c r="V414" s="359">
        <f t="shared" ca="1" si="177"/>
        <v>1.1527016247275772</v>
      </c>
      <c r="W414" s="357">
        <f t="shared" ca="1" si="178"/>
        <v>57.844334184358871</v>
      </c>
      <c r="X414" s="343"/>
      <c r="Y414" s="367" t="str">
        <f t="shared" ca="1" si="196"/>
        <v/>
      </c>
      <c r="Z414" s="368" t="str">
        <f t="shared" ca="1" si="197"/>
        <v/>
      </c>
      <c r="AA414" s="369" t="str">
        <f t="shared" ca="1" si="198"/>
        <v/>
      </c>
      <c r="AB414" s="344"/>
      <c r="AC414" s="363">
        <f t="shared" ca="1" si="199"/>
        <v>4.9999999999999556</v>
      </c>
      <c r="AD414" s="376">
        <f t="shared" ca="1" si="200"/>
        <v>144.83242613396564</v>
      </c>
      <c r="AE414" s="377">
        <f t="shared" ca="1" si="179"/>
        <v>608.13665197126136</v>
      </c>
      <c r="AF414" s="344"/>
      <c r="AG414" s="359">
        <f t="shared" ca="1" si="201"/>
        <v>-16.316961766713078</v>
      </c>
      <c r="AH414" s="357">
        <f t="shared" ca="1" si="202"/>
        <v>-6.8428685314121811</v>
      </c>
    </row>
    <row r="415" spans="1:34" x14ac:dyDescent="0.25">
      <c r="A415" s="402">
        <f t="shared" ca="1" si="180"/>
        <v>0.1</v>
      </c>
      <c r="B415" s="357">
        <f t="shared" ca="1" si="181"/>
        <v>5.0999999999999552</v>
      </c>
      <c r="C415" s="342"/>
      <c r="D415" s="359">
        <f t="shared" ca="1" si="182"/>
        <v>-1.7455740809363747</v>
      </c>
      <c r="E415" s="360">
        <f t="shared" ca="1" si="183"/>
        <v>-16.263760666136871</v>
      </c>
      <c r="F415" s="357">
        <f t="shared" ca="1" si="184"/>
        <v>16.357167844019262</v>
      </c>
      <c r="G415" s="359">
        <f t="shared" ca="1" si="185"/>
        <v>38.700954483720395</v>
      </c>
      <c r="H415" s="360">
        <f t="shared" ca="1" si="186"/>
        <v>142.10470487882492</v>
      </c>
      <c r="I415" s="357">
        <f t="shared" ca="1" si="187"/>
        <v>147.28038235504729</v>
      </c>
      <c r="J415" s="359">
        <f t="shared" ca="1" si="188"/>
        <v>148.71124945274235</v>
      </c>
      <c r="K415" s="360">
        <f t="shared" ca="1" si="189"/>
        <v>622.42844126247451</v>
      </c>
      <c r="L415" s="357">
        <f t="shared" ca="1" si="174"/>
        <v>639.94702921900455</v>
      </c>
      <c r="M415" s="359">
        <f t="shared" ca="1" si="190"/>
        <v>1.3049037319419676</v>
      </c>
      <c r="N415" s="357">
        <f t="shared" ca="1" si="191"/>
        <v>74.765476511145252</v>
      </c>
      <c r="O415" s="343"/>
      <c r="P415" s="363">
        <f t="shared" ca="1" si="192"/>
        <v>23</v>
      </c>
      <c r="Q415" s="357">
        <f t="shared" ca="1" si="193"/>
        <v>0</v>
      </c>
      <c r="R415" s="359">
        <f t="shared" ca="1" si="194"/>
        <v>0</v>
      </c>
      <c r="S415" s="360">
        <f t="shared" ca="1" si="195"/>
        <v>8.6519999999999992</v>
      </c>
      <c r="T415" s="357">
        <f t="shared" ca="1" si="175"/>
        <v>84.87612</v>
      </c>
      <c r="U415" s="364">
        <f t="shared" ca="1" si="176"/>
        <v>0</v>
      </c>
      <c r="V415" s="359">
        <f t="shared" ca="1" si="177"/>
        <v>1.151053826035257</v>
      </c>
      <c r="W415" s="357">
        <f t="shared" ca="1" si="178"/>
        <v>56.515172374428509</v>
      </c>
      <c r="X415" s="343"/>
      <c r="Y415" s="367" t="str">
        <f t="shared" ca="1" si="196"/>
        <v/>
      </c>
      <c r="Z415" s="368" t="str">
        <f t="shared" ca="1" si="197"/>
        <v/>
      </c>
      <c r="AA415" s="369" t="str">
        <f t="shared" ca="1" si="198"/>
        <v/>
      </c>
      <c r="AB415" s="344"/>
      <c r="AC415" s="363" t="e">
        <f t="shared" ca="1" si="199"/>
        <v>#N/A</v>
      </c>
      <c r="AD415" s="376" t="e">
        <f t="shared" ca="1" si="200"/>
        <v>#N/A</v>
      </c>
      <c r="AE415" s="377">
        <f t="shared" ca="1" si="179"/>
        <v>622.42844126247451</v>
      </c>
      <c r="AF415" s="344"/>
      <c r="AG415" s="359">
        <f t="shared" ca="1" si="201"/>
        <v>-16.15538937470895</v>
      </c>
      <c r="AH415" s="357">
        <f t="shared" ca="1" si="202"/>
        <v>-6.6856604466434204</v>
      </c>
    </row>
    <row r="416" spans="1:34" x14ac:dyDescent="0.25">
      <c r="A416" s="402">
        <f t="shared" ca="1" si="180"/>
        <v>0.1</v>
      </c>
      <c r="B416" s="357">
        <f t="shared" ca="1" si="181"/>
        <v>5.1999999999999549</v>
      </c>
      <c r="C416" s="342"/>
      <c r="D416" s="359">
        <f t="shared" ca="1" si="182"/>
        <v>-1.7164269268188956</v>
      </c>
      <c r="E416" s="360">
        <f t="shared" ca="1" si="183"/>
        <v>-16.112489050606484</v>
      </c>
      <c r="F416" s="357">
        <f t="shared" ca="1" si="184"/>
        <v>16.203654674209236</v>
      </c>
      <c r="G416" s="359">
        <f t="shared" ca="1" si="185"/>
        <v>38.529311791038502</v>
      </c>
      <c r="H416" s="360">
        <f t="shared" ca="1" si="186"/>
        <v>140.49345597376427</v>
      </c>
      <c r="I416" s="357">
        <f t="shared" ca="1" si="187"/>
        <v>145.68088082704298</v>
      </c>
      <c r="J416" s="359">
        <f t="shared" ca="1" si="188"/>
        <v>152.57276276648031</v>
      </c>
      <c r="K416" s="360">
        <f t="shared" ca="1" si="189"/>
        <v>636.558349305104</v>
      </c>
      <c r="L416" s="357">
        <f t="shared" ca="1" si="174"/>
        <v>654.58764119729256</v>
      </c>
      <c r="M416" s="359">
        <f t="shared" ca="1" si="190"/>
        <v>1.303134260945167</v>
      </c>
      <c r="N416" s="357">
        <f t="shared" ca="1" si="191"/>
        <v>74.664093291057782</v>
      </c>
      <c r="O416" s="343"/>
      <c r="P416" s="363">
        <f t="shared" ca="1" si="192"/>
        <v>23</v>
      </c>
      <c r="Q416" s="357">
        <f t="shared" ca="1" si="193"/>
        <v>0</v>
      </c>
      <c r="R416" s="359">
        <f t="shared" ca="1" si="194"/>
        <v>0</v>
      </c>
      <c r="S416" s="360">
        <f t="shared" ca="1" si="195"/>
        <v>8.6519999999999992</v>
      </c>
      <c r="T416" s="357">
        <f t="shared" ca="1" si="175"/>
        <v>84.87612</v>
      </c>
      <c r="U416" s="364">
        <f t="shared" ca="1" si="176"/>
        <v>0</v>
      </c>
      <c r="V416" s="359">
        <f t="shared" ca="1" si="177"/>
        <v>1.149426935470564</v>
      </c>
      <c r="W416" s="357">
        <f t="shared" ca="1" si="178"/>
        <v>55.216147906071953</v>
      </c>
      <c r="X416" s="343"/>
      <c r="Y416" s="367" t="str">
        <f t="shared" ca="1" si="196"/>
        <v/>
      </c>
      <c r="Z416" s="368" t="str">
        <f t="shared" ca="1" si="197"/>
        <v/>
      </c>
      <c r="AA416" s="369" t="str">
        <f t="shared" ca="1" si="198"/>
        <v/>
      </c>
      <c r="AB416" s="344"/>
      <c r="AC416" s="363" t="e">
        <f t="shared" ca="1" si="199"/>
        <v>#N/A</v>
      </c>
      <c r="AD416" s="376" t="e">
        <f t="shared" ca="1" si="200"/>
        <v>#N/A</v>
      </c>
      <c r="AE416" s="377">
        <f t="shared" ca="1" si="179"/>
        <v>636.558349305104</v>
      </c>
      <c r="AF416" s="344"/>
      <c r="AG416" s="359">
        <f t="shared" ca="1" si="201"/>
        <v>-15.997295933747552</v>
      </c>
      <c r="AH416" s="357">
        <f t="shared" ca="1" si="202"/>
        <v>-6.5320356419820289</v>
      </c>
    </row>
    <row r="417" spans="1:34" x14ac:dyDescent="0.25">
      <c r="A417" s="402">
        <f t="shared" ca="1" si="180"/>
        <v>0.1</v>
      </c>
      <c r="B417" s="357">
        <f t="shared" ca="1" si="181"/>
        <v>5.2999999999999545</v>
      </c>
      <c r="C417" s="342"/>
      <c r="D417" s="359">
        <f t="shared" ca="1" si="182"/>
        <v>-1.6878672539671895</v>
      </c>
      <c r="E417" s="360">
        <f t="shared" ca="1" si="183"/>
        <v>-15.964646753642576</v>
      </c>
      <c r="F417" s="357">
        <f t="shared" ca="1" si="184"/>
        <v>16.053623947121881</v>
      </c>
      <c r="G417" s="359">
        <f t="shared" ca="1" si="185"/>
        <v>38.360525065641781</v>
      </c>
      <c r="H417" s="360">
        <f t="shared" ca="1" si="186"/>
        <v>138.89699129840002</v>
      </c>
      <c r="I417" s="357">
        <f t="shared" ca="1" si="187"/>
        <v>144.09685657591405</v>
      </c>
      <c r="J417" s="359">
        <f t="shared" ca="1" si="188"/>
        <v>156.41725460931431</v>
      </c>
      <c r="K417" s="360">
        <f t="shared" ca="1" si="189"/>
        <v>650.52787166871224</v>
      </c>
      <c r="L417" s="357">
        <f t="shared" ca="1" si="174"/>
        <v>669.06865817891935</v>
      </c>
      <c r="M417" s="359">
        <f t="shared" ca="1" si="190"/>
        <v>1.3013337182326126</v>
      </c>
      <c r="N417" s="357">
        <f t="shared" ca="1" si="191"/>
        <v>74.560929792795363</v>
      </c>
      <c r="O417" s="343"/>
      <c r="P417" s="363">
        <f t="shared" ca="1" si="192"/>
        <v>23</v>
      </c>
      <c r="Q417" s="357">
        <f t="shared" ca="1" si="193"/>
        <v>0</v>
      </c>
      <c r="R417" s="359">
        <f t="shared" ca="1" si="194"/>
        <v>0</v>
      </c>
      <c r="S417" s="360">
        <f t="shared" ca="1" si="195"/>
        <v>8.6519999999999992</v>
      </c>
      <c r="T417" s="357">
        <f t="shared" ca="1" si="175"/>
        <v>84.87612</v>
      </c>
      <c r="U417" s="364">
        <f t="shared" ca="1" si="176"/>
        <v>0</v>
      </c>
      <c r="V417" s="359">
        <f t="shared" ca="1" si="177"/>
        <v>1.1478207000085969</v>
      </c>
      <c r="W417" s="357">
        <f t="shared" ca="1" si="178"/>
        <v>53.946426843100127</v>
      </c>
      <c r="X417" s="343"/>
      <c r="Y417" s="367" t="str">
        <f t="shared" ca="1" si="196"/>
        <v/>
      </c>
      <c r="Z417" s="368" t="str">
        <f t="shared" ca="1" si="197"/>
        <v/>
      </c>
      <c r="AA417" s="369" t="str">
        <f t="shared" ca="1" si="198"/>
        <v/>
      </c>
      <c r="AB417" s="344"/>
      <c r="AC417" s="363" t="e">
        <f t="shared" ca="1" si="199"/>
        <v>#N/A</v>
      </c>
      <c r="AD417" s="376" t="e">
        <f t="shared" ca="1" si="200"/>
        <v>#N/A</v>
      </c>
      <c r="AE417" s="377">
        <f t="shared" ca="1" si="179"/>
        <v>650.52787166871224</v>
      </c>
      <c r="AF417" s="344"/>
      <c r="AG417" s="359">
        <f t="shared" ca="1" si="201"/>
        <v>-15.842578287604212</v>
      </c>
      <c r="AH417" s="357">
        <f t="shared" ca="1" si="202"/>
        <v>-6.3818941176689732</v>
      </c>
    </row>
    <row r="418" spans="1:34" x14ac:dyDescent="0.25">
      <c r="A418" s="402">
        <f t="shared" ca="1" si="180"/>
        <v>0.1</v>
      </c>
      <c r="B418" s="357">
        <f t="shared" ca="1" si="181"/>
        <v>5.3999999999999542</v>
      </c>
      <c r="C418" s="342"/>
      <c r="D418" s="359">
        <f t="shared" ca="1" si="182"/>
        <v>-1.659878156049964</v>
      </c>
      <c r="E418" s="360">
        <f t="shared" ca="1" si="183"/>
        <v>-15.820138844626346</v>
      </c>
      <c r="F418" s="357">
        <f t="shared" ca="1" si="184"/>
        <v>15.906979240452515</v>
      </c>
      <c r="G418" s="359">
        <f t="shared" ca="1" si="185"/>
        <v>38.194537250036781</v>
      </c>
      <c r="H418" s="360">
        <f t="shared" ca="1" si="186"/>
        <v>137.31497741393738</v>
      </c>
      <c r="I418" s="357">
        <f t="shared" ca="1" si="187"/>
        <v>142.52798215766117</v>
      </c>
      <c r="J418" s="359">
        <f t="shared" ca="1" si="188"/>
        <v>160.24500772509825</v>
      </c>
      <c r="K418" s="360">
        <f t="shared" ca="1" si="189"/>
        <v>664.33847010432908</v>
      </c>
      <c r="L418" s="357">
        <f t="shared" ca="1" si="174"/>
        <v>683.39159005754334</v>
      </c>
      <c r="M418" s="359">
        <f t="shared" ca="1" si="190"/>
        <v>1.299501407397176</v>
      </c>
      <c r="N418" s="357">
        <f t="shared" ca="1" si="191"/>
        <v>74.455946115168757</v>
      </c>
      <c r="O418" s="343"/>
      <c r="P418" s="363">
        <f t="shared" ca="1" si="192"/>
        <v>23</v>
      </c>
      <c r="Q418" s="357">
        <f t="shared" ca="1" si="193"/>
        <v>0</v>
      </c>
      <c r="R418" s="359">
        <f t="shared" ca="1" si="194"/>
        <v>0</v>
      </c>
      <c r="S418" s="360">
        <f t="shared" ca="1" si="195"/>
        <v>8.6519999999999992</v>
      </c>
      <c r="T418" s="357">
        <f t="shared" ca="1" si="175"/>
        <v>84.87612</v>
      </c>
      <c r="U418" s="364">
        <f t="shared" ca="1" si="176"/>
        <v>0</v>
      </c>
      <c r="V418" s="359">
        <f t="shared" ca="1" si="177"/>
        <v>1.1462348726231746</v>
      </c>
      <c r="W418" s="357">
        <f t="shared" ca="1" si="178"/>
        <v>52.705205172023156</v>
      </c>
      <c r="X418" s="343"/>
      <c r="Y418" s="367" t="str">
        <f t="shared" ca="1" si="196"/>
        <v/>
      </c>
      <c r="Z418" s="368" t="str">
        <f t="shared" ca="1" si="197"/>
        <v/>
      </c>
      <c r="AA418" s="369" t="str">
        <f t="shared" ca="1" si="198"/>
        <v/>
      </c>
      <c r="AB418" s="344"/>
      <c r="AC418" s="363" t="e">
        <f t="shared" ca="1" si="199"/>
        <v>#N/A</v>
      </c>
      <c r="AD418" s="376" t="e">
        <f t="shared" ca="1" si="200"/>
        <v>#N/A</v>
      </c>
      <c r="AE418" s="377">
        <f t="shared" ca="1" si="179"/>
        <v>664.33847010432908</v>
      </c>
      <c r="AF418" s="344"/>
      <c r="AG418" s="359">
        <f t="shared" ca="1" si="201"/>
        <v>-15.691136772726434</v>
      </c>
      <c r="AH418" s="357">
        <f t="shared" ca="1" si="202"/>
        <v>-6.2351394871821695</v>
      </c>
    </row>
    <row r="419" spans="1:34" x14ac:dyDescent="0.25">
      <c r="A419" s="402">
        <f t="shared" ca="1" si="180"/>
        <v>0.1</v>
      </c>
      <c r="B419" s="357">
        <f t="shared" ca="1" si="181"/>
        <v>5.4999999999999538</v>
      </c>
      <c r="C419" s="342"/>
      <c r="D419" s="359">
        <f t="shared" ca="1" si="182"/>
        <v>-1.6324433292177947</v>
      </c>
      <c r="E419" s="360">
        <f t="shared" ca="1" si="183"/>
        <v>-15.678873797675301</v>
      </c>
      <c r="F419" s="357">
        <f t="shared" ca="1" si="184"/>
        <v>15.763627589693204</v>
      </c>
      <c r="G419" s="359">
        <f t="shared" ca="1" si="185"/>
        <v>38.031292917115003</v>
      </c>
      <c r="H419" s="360">
        <f t="shared" ca="1" si="186"/>
        <v>135.74709003416984</v>
      </c>
      <c r="I419" s="357">
        <f t="shared" ca="1" si="187"/>
        <v>140.97393976793163</v>
      </c>
      <c r="J419" s="359">
        <f t="shared" ca="1" si="188"/>
        <v>164.05629923345583</v>
      </c>
      <c r="K419" s="360">
        <f t="shared" ca="1" si="189"/>
        <v>677.9915734767344</v>
      </c>
      <c r="L419" s="357">
        <f t="shared" ca="1" si="174"/>
        <v>697.55791374167302</v>
      </c>
      <c r="M419" s="359">
        <f t="shared" ca="1" si="190"/>
        <v>1.297636610499344</v>
      </c>
      <c r="N419" s="357">
        <f t="shared" ca="1" si="191"/>
        <v>74.349101123273897</v>
      </c>
      <c r="O419" s="343"/>
      <c r="P419" s="363">
        <f t="shared" ca="1" si="192"/>
        <v>23</v>
      </c>
      <c r="Q419" s="357">
        <f t="shared" ca="1" si="193"/>
        <v>0</v>
      </c>
      <c r="R419" s="359">
        <f t="shared" ca="1" si="194"/>
        <v>0</v>
      </c>
      <c r="S419" s="360">
        <f t="shared" ca="1" si="195"/>
        <v>8.6519999999999992</v>
      </c>
      <c r="T419" s="357">
        <f t="shared" ca="1" si="175"/>
        <v>84.87612</v>
      </c>
      <c r="U419" s="364">
        <f t="shared" ca="1" si="176"/>
        <v>0</v>
      </c>
      <c r="V419" s="359">
        <f t="shared" ca="1" si="177"/>
        <v>1.1446692121130067</v>
      </c>
      <c r="W419" s="357">
        <f t="shared" ca="1" si="178"/>
        <v>51.491707530048679</v>
      </c>
      <c r="X419" s="343"/>
      <c r="Y419" s="367" t="str">
        <f t="shared" ca="1" si="196"/>
        <v/>
      </c>
      <c r="Z419" s="368" t="str">
        <f t="shared" ca="1" si="197"/>
        <v/>
      </c>
      <c r="AA419" s="369" t="str">
        <f t="shared" ca="1" si="198"/>
        <v/>
      </c>
      <c r="AB419" s="344"/>
      <c r="AC419" s="363" t="e">
        <f t="shared" ca="1" si="199"/>
        <v>#N/A</v>
      </c>
      <c r="AD419" s="376" t="e">
        <f t="shared" ca="1" si="200"/>
        <v>#N/A</v>
      </c>
      <c r="AE419" s="377">
        <f t="shared" ca="1" si="179"/>
        <v>677.9915734767344</v>
      </c>
      <c r="AF419" s="344"/>
      <c r="AG419" s="359">
        <f t="shared" ca="1" si="201"/>
        <v>-15.542875058033404</v>
      </c>
      <c r="AH419" s="357">
        <f t="shared" ca="1" si="202"/>
        <v>-6.0916788224714704</v>
      </c>
    </row>
    <row r="420" spans="1:34" x14ac:dyDescent="0.25">
      <c r="A420" s="402">
        <f t="shared" ca="1" si="180"/>
        <v>0.1</v>
      </c>
      <c r="B420" s="357">
        <f t="shared" ca="1" si="181"/>
        <v>5.5999999999999535</v>
      </c>
      <c r="C420" s="342"/>
      <c r="D420" s="359">
        <f t="shared" ca="1" si="182"/>
        <v>-1.6055470465503014</v>
      </c>
      <c r="E420" s="360">
        <f t="shared" ca="1" si="183"/>
        <v>-15.540763346835291</v>
      </c>
      <c r="F420" s="357">
        <f t="shared" ca="1" si="184"/>
        <v>15.623479341075907</v>
      </c>
      <c r="G420" s="359">
        <f t="shared" ca="1" si="185"/>
        <v>37.870738212459976</v>
      </c>
      <c r="H420" s="360">
        <f t="shared" ca="1" si="186"/>
        <v>134.1930136994863</v>
      </c>
      <c r="I420" s="357">
        <f t="shared" ca="1" si="187"/>
        <v>139.43442092434418</v>
      </c>
      <c r="J420" s="359">
        <f t="shared" ca="1" si="188"/>
        <v>167.85140078993459</v>
      </c>
      <c r="K420" s="360">
        <f t="shared" ca="1" si="189"/>
        <v>691.48857866341723</v>
      </c>
      <c r="L420" s="357">
        <f t="shared" ca="1" si="174"/>
        <v>711.56907406737128</v>
      </c>
      <c r="M420" s="359">
        <f t="shared" ca="1" si="190"/>
        <v>1.2957385872683151</v>
      </c>
      <c r="N420" s="357">
        <f t="shared" ca="1" si="191"/>
        <v>74.240352402718159</v>
      </c>
      <c r="O420" s="343"/>
      <c r="P420" s="363">
        <f t="shared" ca="1" si="192"/>
        <v>23</v>
      </c>
      <c r="Q420" s="357">
        <f t="shared" ca="1" si="193"/>
        <v>0</v>
      </c>
      <c r="R420" s="359">
        <f t="shared" ca="1" si="194"/>
        <v>0</v>
      </c>
      <c r="S420" s="360">
        <f t="shared" ca="1" si="195"/>
        <v>8.6519999999999992</v>
      </c>
      <c r="T420" s="357">
        <f t="shared" ca="1" si="175"/>
        <v>84.87612</v>
      </c>
      <c r="U420" s="364">
        <f t="shared" ca="1" si="176"/>
        <v>0</v>
      </c>
      <c r="V420" s="359">
        <f t="shared" ca="1" si="177"/>
        <v>1.1431234829343144</v>
      </c>
      <c r="W420" s="357">
        <f t="shared" ca="1" si="178"/>
        <v>50.305185996291229</v>
      </c>
      <c r="X420" s="343"/>
      <c r="Y420" s="367" t="str">
        <f t="shared" ca="1" si="196"/>
        <v/>
      </c>
      <c r="Z420" s="368" t="str">
        <f t="shared" ca="1" si="197"/>
        <v/>
      </c>
      <c r="AA420" s="369" t="str">
        <f t="shared" ca="1" si="198"/>
        <v/>
      </c>
      <c r="AB420" s="344"/>
      <c r="AC420" s="363" t="e">
        <f t="shared" ca="1" si="199"/>
        <v>#N/A</v>
      </c>
      <c r="AD420" s="376" t="e">
        <f t="shared" ca="1" si="200"/>
        <v>#N/A</v>
      </c>
      <c r="AE420" s="377">
        <f t="shared" ca="1" si="179"/>
        <v>691.48857866341723</v>
      </c>
      <c r="AF420" s="344"/>
      <c r="AG420" s="359">
        <f t="shared" ca="1" si="201"/>
        <v>-15.39769999217912</v>
      </c>
      <c r="AH420" s="357">
        <f t="shared" ca="1" si="202"/>
        <v>-5.9514225069404398</v>
      </c>
    </row>
    <row r="421" spans="1:34" x14ac:dyDescent="0.25">
      <c r="A421" s="402">
        <f t="shared" ca="1" si="180"/>
        <v>0.1</v>
      </c>
      <c r="B421" s="357">
        <f t="shared" ca="1" si="181"/>
        <v>5.6999999999999531</v>
      </c>
      <c r="C421" s="342"/>
      <c r="D421" s="359">
        <f t="shared" ca="1" si="182"/>
        <v>-1.5791741337807002</v>
      </c>
      <c r="E421" s="360">
        <f t="shared" ca="1" si="183"/>
        <v>-15.405722348464423</v>
      </c>
      <c r="F421" s="357">
        <f t="shared" ca="1" si="184"/>
        <v>15.486448011819178</v>
      </c>
      <c r="G421" s="359">
        <f t="shared" ca="1" si="185"/>
        <v>37.712820799081904</v>
      </c>
      <c r="H421" s="360">
        <f t="shared" ca="1" si="186"/>
        <v>132.65244146463985</v>
      </c>
      <c r="I421" s="357">
        <f t="shared" ca="1" si="187"/>
        <v>137.90912616340287</v>
      </c>
      <c r="J421" s="359">
        <f t="shared" ca="1" si="188"/>
        <v>171.63057874051168</v>
      </c>
      <c r="K421" s="360">
        <f t="shared" ca="1" si="189"/>
        <v>704.83085142162349</v>
      </c>
      <c r="L421" s="357">
        <f t="shared" ca="1" si="174"/>
        <v>725.42648467955291</v>
      </c>
      <c r="M421" s="359">
        <f t="shared" ca="1" si="190"/>
        <v>1.2938065742679796</v>
      </c>
      <c r="N421" s="357">
        <f t="shared" ca="1" si="191"/>
        <v>74.129656211834529</v>
      </c>
      <c r="O421" s="343"/>
      <c r="P421" s="363">
        <f t="shared" ca="1" si="192"/>
        <v>23</v>
      </c>
      <c r="Q421" s="357">
        <f t="shared" ca="1" si="193"/>
        <v>0</v>
      </c>
      <c r="R421" s="359">
        <f t="shared" ca="1" si="194"/>
        <v>0</v>
      </c>
      <c r="S421" s="360">
        <f t="shared" ca="1" si="195"/>
        <v>8.6519999999999992</v>
      </c>
      <c r="T421" s="357">
        <f t="shared" ca="1" si="175"/>
        <v>84.87612</v>
      </c>
      <c r="U421" s="364">
        <f t="shared" ca="1" si="176"/>
        <v>0</v>
      </c>
      <c r="V421" s="359">
        <f t="shared" ca="1" si="177"/>
        <v>1.1415974550396095</v>
      </c>
      <c r="W421" s="357">
        <f t="shared" ca="1" si="178"/>
        <v>49.144918942620507</v>
      </c>
      <c r="X421" s="343"/>
      <c r="Y421" s="367" t="str">
        <f t="shared" ca="1" si="196"/>
        <v/>
      </c>
      <c r="Z421" s="368" t="str">
        <f t="shared" ca="1" si="197"/>
        <v/>
      </c>
      <c r="AA421" s="369" t="str">
        <f t="shared" ca="1" si="198"/>
        <v/>
      </c>
      <c r="AB421" s="344"/>
      <c r="AC421" s="363" t="e">
        <f t="shared" ca="1" si="199"/>
        <v>#N/A</v>
      </c>
      <c r="AD421" s="376" t="e">
        <f t="shared" ca="1" si="200"/>
        <v>#N/A</v>
      </c>
      <c r="AE421" s="377">
        <f t="shared" ca="1" si="179"/>
        <v>704.83085142162349</v>
      </c>
      <c r="AF421" s="344"/>
      <c r="AG421" s="359">
        <f t="shared" ca="1" si="201"/>
        <v>-15.255521457821626</v>
      </c>
      <c r="AH421" s="357">
        <f t="shared" ca="1" si="202"/>
        <v>-5.8142840957340765</v>
      </c>
    </row>
    <row r="422" spans="1:34" x14ac:dyDescent="0.25">
      <c r="A422" s="402">
        <f t="shared" ca="1" si="180"/>
        <v>0.1</v>
      </c>
      <c r="B422" s="357">
        <f t="shared" ca="1" si="181"/>
        <v>5.7999999999999527</v>
      </c>
      <c r="C422" s="342"/>
      <c r="D422" s="359">
        <f t="shared" ca="1" si="182"/>
        <v>-1.5533099462259554</v>
      </c>
      <c r="E422" s="360">
        <f t="shared" ca="1" si="183"/>
        <v>-15.273668650402239</v>
      </c>
      <c r="F422" s="357">
        <f t="shared" ca="1" si="184"/>
        <v>15.352450157265602</v>
      </c>
      <c r="G422" s="359">
        <f t="shared" ca="1" si="185"/>
        <v>37.557489804459308</v>
      </c>
      <c r="H422" s="360">
        <f t="shared" ca="1" si="186"/>
        <v>131.12507459959963</v>
      </c>
      <c r="I422" s="357">
        <f t="shared" ca="1" si="187"/>
        <v>136.39776475134272</v>
      </c>
      <c r="J422" s="359">
        <f t="shared" ca="1" si="188"/>
        <v>175.39409427068875</v>
      </c>
      <c r="K422" s="360">
        <f t="shared" ca="1" si="189"/>
        <v>718.01972722483549</v>
      </c>
      <c r="L422" s="357">
        <f t="shared" ca="1" si="174"/>
        <v>739.1315288830956</v>
      </c>
      <c r="M422" s="359">
        <f t="shared" ca="1" si="190"/>
        <v>1.2918397840260325</v>
      </c>
      <c r="N422" s="357">
        <f t="shared" ca="1" si="191"/>
        <v>74.016967431783442</v>
      </c>
      <c r="O422" s="343"/>
      <c r="P422" s="363">
        <f t="shared" ca="1" si="192"/>
        <v>23</v>
      </c>
      <c r="Q422" s="357">
        <f t="shared" ca="1" si="193"/>
        <v>0</v>
      </c>
      <c r="R422" s="359">
        <f t="shared" ca="1" si="194"/>
        <v>0</v>
      </c>
      <c r="S422" s="360">
        <f t="shared" ca="1" si="195"/>
        <v>8.6519999999999992</v>
      </c>
      <c r="T422" s="357">
        <f t="shared" ca="1" si="175"/>
        <v>84.87612</v>
      </c>
      <c r="U422" s="364">
        <f t="shared" ca="1" si="176"/>
        <v>0</v>
      </c>
      <c r="V422" s="359">
        <f t="shared" ca="1" si="177"/>
        <v>1.1400909037223663</v>
      </c>
      <c r="W422" s="357">
        <f t="shared" ca="1" si="178"/>
        <v>48.010209940803414</v>
      </c>
      <c r="X422" s="343"/>
      <c r="Y422" s="367" t="str">
        <f t="shared" ca="1" si="196"/>
        <v/>
      </c>
      <c r="Z422" s="368" t="str">
        <f t="shared" ca="1" si="197"/>
        <v/>
      </c>
      <c r="AA422" s="369" t="str">
        <f t="shared" ca="1" si="198"/>
        <v/>
      </c>
      <c r="AB422" s="344"/>
      <c r="AC422" s="363" t="e">
        <f t="shared" ca="1" si="199"/>
        <v>#N/A</v>
      </c>
      <c r="AD422" s="376" t="e">
        <f t="shared" ca="1" si="200"/>
        <v>#N/A</v>
      </c>
      <c r="AE422" s="377">
        <f t="shared" ca="1" si="179"/>
        <v>718.01972722483549</v>
      </c>
      <c r="AF422" s="344"/>
      <c r="AG422" s="359">
        <f t="shared" ca="1" si="201"/>
        <v>-15.116252232467923</v>
      </c>
      <c r="AH422" s="357">
        <f t="shared" ca="1" si="202"/>
        <v>-5.6801801829196155</v>
      </c>
    </row>
    <row r="423" spans="1:34" x14ac:dyDescent="0.25">
      <c r="A423" s="402">
        <f t="shared" ca="1" si="180"/>
        <v>0.1</v>
      </c>
      <c r="B423" s="357">
        <f t="shared" ca="1" si="181"/>
        <v>5.8999999999999524</v>
      </c>
      <c r="C423" s="342"/>
      <c r="D423" s="359">
        <f t="shared" ca="1" si="182"/>
        <v>-1.5279403468554502</v>
      </c>
      <c r="E423" s="360">
        <f t="shared" ca="1" si="183"/>
        <v>-15.144522967543235</v>
      </c>
      <c r="F423" s="357">
        <f t="shared" ca="1" si="184"/>
        <v>15.221405244523034</v>
      </c>
      <c r="G423" s="359">
        <f t="shared" ca="1" si="185"/>
        <v>37.404695769773767</v>
      </c>
      <c r="H423" s="360">
        <f t="shared" ca="1" si="186"/>
        <v>129.61062230284531</v>
      </c>
      <c r="I423" s="357">
        <f t="shared" ca="1" si="187"/>
        <v>134.90005440829205</v>
      </c>
      <c r="J423" s="359">
        <f t="shared" ca="1" si="188"/>
        <v>179.14220354940042</v>
      </c>
      <c r="K423" s="360">
        <f t="shared" ca="1" si="189"/>
        <v>731.05651206995776</v>
      </c>
      <c r="L423" s="357">
        <f t="shared" ca="1" si="174"/>
        <v>752.68556046494416</v>
      </c>
      <c r="M423" s="359">
        <f t="shared" ca="1" si="190"/>
        <v>1.2898374041243899</v>
      </c>
      <c r="N423" s="357">
        <f t="shared" ca="1" si="191"/>
        <v>73.902239514437497</v>
      </c>
      <c r="O423" s="343"/>
      <c r="P423" s="363">
        <f t="shared" ca="1" si="192"/>
        <v>23</v>
      </c>
      <c r="Q423" s="357">
        <f t="shared" ca="1" si="193"/>
        <v>0</v>
      </c>
      <c r="R423" s="359">
        <f t="shared" ca="1" si="194"/>
        <v>0</v>
      </c>
      <c r="S423" s="360">
        <f t="shared" ca="1" si="195"/>
        <v>8.6519999999999992</v>
      </c>
      <c r="T423" s="357">
        <f t="shared" ca="1" si="175"/>
        <v>84.87612</v>
      </c>
      <c r="U423" s="364">
        <f t="shared" ca="1" si="176"/>
        <v>0</v>
      </c>
      <c r="V423" s="359">
        <f t="shared" ca="1" si="177"/>
        <v>1.1386036094673422</v>
      </c>
      <c r="W423" s="357">
        <f t="shared" ca="1" si="178"/>
        <v>46.900386722805472</v>
      </c>
      <c r="X423" s="343"/>
      <c r="Y423" s="367" t="str">
        <f t="shared" ca="1" si="196"/>
        <v/>
      </c>
      <c r="Z423" s="368" t="str">
        <f t="shared" ca="1" si="197"/>
        <v/>
      </c>
      <c r="AA423" s="369" t="str">
        <f t="shared" ca="1" si="198"/>
        <v/>
      </c>
      <c r="AB423" s="344"/>
      <c r="AC423" s="363" t="e">
        <f t="shared" ca="1" si="199"/>
        <v>#N/A</v>
      </c>
      <c r="AD423" s="376" t="e">
        <f t="shared" ca="1" si="200"/>
        <v>#N/A</v>
      </c>
      <c r="AE423" s="377">
        <f t="shared" ca="1" si="179"/>
        <v>731.05651206995776</v>
      </c>
      <c r="AF423" s="344"/>
      <c r="AG423" s="359">
        <f t="shared" ca="1" si="201"/>
        <v>-14.979807855488986</v>
      </c>
      <c r="AH423" s="357">
        <f t="shared" ca="1" si="202"/>
        <v>-5.5490302751737657</v>
      </c>
    </row>
    <row r="424" spans="1:34" x14ac:dyDescent="0.25">
      <c r="A424" s="402">
        <f t="shared" ca="1" si="180"/>
        <v>0.1</v>
      </c>
      <c r="B424" s="357">
        <f t="shared" ca="1" si="181"/>
        <v>5.999999999999952</v>
      </c>
      <c r="C424" s="342"/>
      <c r="D424" s="359">
        <f t="shared" ca="1" si="182"/>
        <v>-1.503051685435308</v>
      </c>
      <c r="E424" s="360">
        <f t="shared" ca="1" si="183"/>
        <v>-15.018208763457856</v>
      </c>
      <c r="F424" s="357">
        <f t="shared" ca="1" si="184"/>
        <v>15.093235532247295</v>
      </c>
      <c r="G424" s="359">
        <f t="shared" ca="1" si="185"/>
        <v>37.254390601230234</v>
      </c>
      <c r="H424" s="360">
        <f t="shared" ca="1" si="186"/>
        <v>128.10880142649953</v>
      </c>
      <c r="I424" s="357">
        <f t="shared" ca="1" si="187"/>
        <v>133.41572104517263</v>
      </c>
      <c r="J424" s="359">
        <f t="shared" ca="1" si="188"/>
        <v>182.87515786795063</v>
      </c>
      <c r="K424" s="360">
        <f t="shared" ca="1" si="189"/>
        <v>743.94248325642502</v>
      </c>
      <c r="L424" s="357">
        <f t="shared" ca="1" si="174"/>
        <v>766.08990448834663</v>
      </c>
      <c r="M424" s="359">
        <f t="shared" ca="1" si="190"/>
        <v>1.2877985962489737</v>
      </c>
      <c r="N424" s="357">
        <f t="shared" ca="1" si="191"/>
        <v>73.785424427938125</v>
      </c>
      <c r="O424" s="343"/>
      <c r="P424" s="363">
        <f t="shared" ca="1" si="192"/>
        <v>23</v>
      </c>
      <c r="Q424" s="357">
        <f t="shared" ca="1" si="193"/>
        <v>0</v>
      </c>
      <c r="R424" s="359">
        <f t="shared" ca="1" si="194"/>
        <v>0</v>
      </c>
      <c r="S424" s="360">
        <f t="shared" ca="1" si="195"/>
        <v>8.6519999999999992</v>
      </c>
      <c r="T424" s="357">
        <f t="shared" ca="1" si="175"/>
        <v>84.87612</v>
      </c>
      <c r="U424" s="364">
        <f t="shared" ca="1" si="176"/>
        <v>0</v>
      </c>
      <c r="V424" s="359">
        <f t="shared" ca="1" si="177"/>
        <v>1.1371353578062893</v>
      </c>
      <c r="W424" s="357">
        <f t="shared" ca="1" si="178"/>
        <v>45.814800191311186</v>
      </c>
      <c r="X424" s="343"/>
      <c r="Y424" s="367" t="str">
        <f t="shared" ca="1" si="196"/>
        <v/>
      </c>
      <c r="Z424" s="368" t="str">
        <f t="shared" ca="1" si="197"/>
        <v/>
      </c>
      <c r="AA424" s="369" t="str">
        <f t="shared" ca="1" si="198"/>
        <v/>
      </c>
      <c r="AB424" s="344"/>
      <c r="AC424" s="363">
        <f t="shared" ca="1" si="199"/>
        <v>5.999999999999952</v>
      </c>
      <c r="AD424" s="376">
        <f t="shared" ca="1" si="200"/>
        <v>182.87515786795063</v>
      </c>
      <c r="AE424" s="377">
        <f t="shared" ca="1" si="179"/>
        <v>743.94248325642502</v>
      </c>
      <c r="AF424" s="344"/>
      <c r="AG424" s="359">
        <f t="shared" ca="1" si="201"/>
        <v>-14.846106500922705</v>
      </c>
      <c r="AH424" s="357">
        <f t="shared" ca="1" si="202"/>
        <v>-5.4207566716141322</v>
      </c>
    </row>
    <row r="425" spans="1:34" x14ac:dyDescent="0.25">
      <c r="A425" s="402">
        <f t="shared" ca="1" si="180"/>
        <v>0.1</v>
      </c>
      <c r="B425" s="357">
        <f t="shared" ca="1" si="181"/>
        <v>6.0999999999999517</v>
      </c>
      <c r="C425" s="342"/>
      <c r="D425" s="359">
        <f t="shared" ca="1" si="182"/>
        <v>-1.4786307786893966</v>
      </c>
      <c r="E425" s="360">
        <f t="shared" ca="1" si="183"/>
        <v>-14.894652137726151</v>
      </c>
      <c r="F425" s="357">
        <f t="shared" ca="1" si="184"/>
        <v>14.967865956226285</v>
      </c>
      <c r="G425" s="359">
        <f t="shared" ca="1" si="185"/>
        <v>37.106527523361294</v>
      </c>
      <c r="H425" s="360">
        <f t="shared" ca="1" si="186"/>
        <v>126.61933621272691</v>
      </c>
      <c r="I425" s="357">
        <f t="shared" ca="1" si="187"/>
        <v>131.9444985127972</v>
      </c>
      <c r="J425" s="359">
        <f t="shared" ca="1" si="188"/>
        <v>186.59320377418021</v>
      </c>
      <c r="K425" s="360">
        <f t="shared" ca="1" si="189"/>
        <v>756.67889013838635</v>
      </c>
      <c r="L425" s="357">
        <f t="shared" ca="1" si="174"/>
        <v>779.34585806031771</v>
      </c>
      <c r="M425" s="359">
        <f t="shared" ca="1" si="190"/>
        <v>1.285722495196818</v>
      </c>
      <c r="N425" s="357">
        <f t="shared" ca="1" si="191"/>
        <v>73.666472599806937</v>
      </c>
      <c r="O425" s="343"/>
      <c r="P425" s="363">
        <f t="shared" ca="1" si="192"/>
        <v>23</v>
      </c>
      <c r="Q425" s="357">
        <f t="shared" ca="1" si="193"/>
        <v>0</v>
      </c>
      <c r="R425" s="359">
        <f t="shared" ca="1" si="194"/>
        <v>0</v>
      </c>
      <c r="S425" s="360">
        <f t="shared" ca="1" si="195"/>
        <v>8.6519999999999992</v>
      </c>
      <c r="T425" s="357">
        <f t="shared" ca="1" si="175"/>
        <v>84.87612</v>
      </c>
      <c r="U425" s="364">
        <f t="shared" ca="1" si="176"/>
        <v>0</v>
      </c>
      <c r="V425" s="359">
        <f t="shared" ca="1" si="177"/>
        <v>1.1356859391788428</v>
      </c>
      <c r="W425" s="357">
        <f t="shared" ca="1" si="178"/>
        <v>44.752823477707373</v>
      </c>
      <c r="X425" s="343"/>
      <c r="Y425" s="367" t="str">
        <f t="shared" ca="1" si="196"/>
        <v/>
      </c>
      <c r="Z425" s="368" t="str">
        <f t="shared" ca="1" si="197"/>
        <v/>
      </c>
      <c r="AA425" s="369" t="str">
        <f t="shared" ca="1" si="198"/>
        <v/>
      </c>
      <c r="AB425" s="344"/>
      <c r="AC425" s="363" t="e">
        <f t="shared" ca="1" si="199"/>
        <v>#N/A</v>
      </c>
      <c r="AD425" s="376" t="e">
        <f t="shared" ca="1" si="200"/>
        <v>#N/A</v>
      </c>
      <c r="AE425" s="377">
        <f t="shared" ca="1" si="179"/>
        <v>756.67889013838635</v>
      </c>
      <c r="AF425" s="344"/>
      <c r="AG425" s="359">
        <f t="shared" ca="1" si="201"/>
        <v>-14.715068855703475</v>
      </c>
      <c r="AH425" s="357">
        <f t="shared" ca="1" si="202"/>
        <v>-5.29528434943495</v>
      </c>
    </row>
    <row r="426" spans="1:34" x14ac:dyDescent="0.25">
      <c r="A426" s="402">
        <f t="shared" ca="1" si="180"/>
        <v>0.1</v>
      </c>
      <c r="B426" s="357">
        <f t="shared" ca="1" si="181"/>
        <v>6.1999999999999513</v>
      </c>
      <c r="C426" s="342"/>
      <c r="D426" s="359">
        <f t="shared" ca="1" si="182"/>
        <v>-1.454664891421855</v>
      </c>
      <c r="E426" s="360">
        <f t="shared" ca="1" si="183"/>
        <v>-14.773781718670207</v>
      </c>
      <c r="F426" s="357">
        <f t="shared" ca="1" si="184"/>
        <v>14.845224020446757</v>
      </c>
      <c r="G426" s="359">
        <f t="shared" ca="1" si="185"/>
        <v>36.961061034219107</v>
      </c>
      <c r="H426" s="360">
        <f t="shared" ca="1" si="186"/>
        <v>125.14195804085989</v>
      </c>
      <c r="I426" s="357">
        <f t="shared" ca="1" si="187"/>
        <v>130.48612836265627</v>
      </c>
      <c r="J426" s="359">
        <f t="shared" ca="1" si="188"/>
        <v>190.29658320205922</v>
      </c>
      <c r="K426" s="360">
        <f t="shared" ca="1" si="189"/>
        <v>769.26695485106575</v>
      </c>
      <c r="L426" s="357">
        <f t="shared" ca="1" si="174"/>
        <v>792.45469107338238</v>
      </c>
      <c r="M426" s="359">
        <f t="shared" ca="1" si="190"/>
        <v>1.2836082078383493</v>
      </c>
      <c r="N426" s="357">
        <f t="shared" ca="1" si="191"/>
        <v>73.545332857488802</v>
      </c>
      <c r="O426" s="343"/>
      <c r="P426" s="363">
        <f t="shared" ca="1" si="192"/>
        <v>23</v>
      </c>
      <c r="Q426" s="357">
        <f t="shared" ca="1" si="193"/>
        <v>0</v>
      </c>
      <c r="R426" s="359">
        <f t="shared" ca="1" si="194"/>
        <v>0</v>
      </c>
      <c r="S426" s="360">
        <f t="shared" ca="1" si="195"/>
        <v>8.6519999999999992</v>
      </c>
      <c r="T426" s="357">
        <f t="shared" ca="1" si="175"/>
        <v>84.87612</v>
      </c>
      <c r="U426" s="364">
        <f t="shared" ca="1" si="176"/>
        <v>0</v>
      </c>
      <c r="V426" s="359">
        <f t="shared" ca="1" si="177"/>
        <v>1.1342551487983592</v>
      </c>
      <c r="W426" s="357">
        <f t="shared" ca="1" si="178"/>
        <v>43.713851044941464</v>
      </c>
      <c r="X426" s="343"/>
      <c r="Y426" s="367" t="str">
        <f t="shared" ca="1" si="196"/>
        <v/>
      </c>
      <c r="Z426" s="368" t="str">
        <f t="shared" ca="1" si="197"/>
        <v/>
      </c>
      <c r="AA426" s="369" t="str">
        <f t="shared" ca="1" si="198"/>
        <v/>
      </c>
      <c r="AB426" s="344"/>
      <c r="AC426" s="363" t="e">
        <f t="shared" ca="1" si="199"/>
        <v>#N/A</v>
      </c>
      <c r="AD426" s="376" t="e">
        <f t="shared" ca="1" si="200"/>
        <v>#N/A</v>
      </c>
      <c r="AE426" s="377">
        <f t="shared" ca="1" si="179"/>
        <v>769.26695485106575</v>
      </c>
      <c r="AF426" s="344"/>
      <c r="AG426" s="359">
        <f t="shared" ca="1" si="201"/>
        <v>-14.586618002977106</v>
      </c>
      <c r="AH426" s="357">
        <f t="shared" ca="1" si="202"/>
        <v>-5.1725408550285916</v>
      </c>
    </row>
    <row r="427" spans="1:34" x14ac:dyDescent="0.25">
      <c r="A427" s="402">
        <f t="shared" ca="1" si="180"/>
        <v>0.1</v>
      </c>
      <c r="B427" s="357">
        <f t="shared" ca="1" si="181"/>
        <v>6.299999999999951</v>
      </c>
      <c r="C427" s="342"/>
      <c r="D427" s="359">
        <f t="shared" ca="1" si="182"/>
        <v>-1.4311417185492956</v>
      </c>
      <c r="E427" s="360">
        <f t="shared" ca="1" si="183"/>
        <v>-14.655528561190664</v>
      </c>
      <c r="F427" s="357">
        <f t="shared" ca="1" si="184"/>
        <v>14.725239693344468</v>
      </c>
      <c r="G427" s="359">
        <f t="shared" ca="1" si="185"/>
        <v>36.817946862364174</v>
      </c>
      <c r="H427" s="360">
        <f t="shared" ca="1" si="186"/>
        <v>123.67640518474083</v>
      </c>
      <c r="I427" s="357">
        <f t="shared" ca="1" si="187"/>
        <v>129.04035961891947</v>
      </c>
      <c r="J427" s="359">
        <f t="shared" ca="1" si="188"/>
        <v>193.98553359688839</v>
      </c>
      <c r="K427" s="360">
        <f t="shared" ca="1" si="189"/>
        <v>781.70787301234577</v>
      </c>
      <c r="L427" s="357">
        <f t="shared" ca="1" si="174"/>
        <v>805.41764692261074</v>
      </c>
      <c r="M427" s="359">
        <f t="shared" ca="1" si="190"/>
        <v>1.281454812032562</v>
      </c>
      <c r="N427" s="357">
        <f t="shared" ca="1" si="191"/>
        <v>73.421952366196024</v>
      </c>
      <c r="O427" s="343"/>
      <c r="P427" s="363">
        <f t="shared" ca="1" si="192"/>
        <v>23</v>
      </c>
      <c r="Q427" s="357">
        <f t="shared" ca="1" si="193"/>
        <v>0</v>
      </c>
      <c r="R427" s="359">
        <f t="shared" ca="1" si="194"/>
        <v>0</v>
      </c>
      <c r="S427" s="360">
        <f t="shared" ca="1" si="195"/>
        <v>8.6519999999999992</v>
      </c>
      <c r="T427" s="357">
        <f t="shared" ca="1" si="175"/>
        <v>84.87612</v>
      </c>
      <c r="U427" s="364">
        <f t="shared" ca="1" si="176"/>
        <v>0</v>
      </c>
      <c r="V427" s="359">
        <f t="shared" ca="1" si="177"/>
        <v>1.1328427865224997</v>
      </c>
      <c r="W427" s="357">
        <f t="shared" ca="1" si="178"/>
        <v>42.697297832825399</v>
      </c>
      <c r="X427" s="343"/>
      <c r="Y427" s="367" t="str">
        <f t="shared" ca="1" si="196"/>
        <v/>
      </c>
      <c r="Z427" s="368" t="str">
        <f t="shared" ca="1" si="197"/>
        <v/>
      </c>
      <c r="AA427" s="369" t="str">
        <f t="shared" ca="1" si="198"/>
        <v/>
      </c>
      <c r="AB427" s="344"/>
      <c r="AC427" s="363" t="e">
        <f t="shared" ca="1" si="199"/>
        <v>#N/A</v>
      </c>
      <c r="AD427" s="376" t="e">
        <f t="shared" ca="1" si="200"/>
        <v>#N/A</v>
      </c>
      <c r="AE427" s="377">
        <f t="shared" ca="1" si="179"/>
        <v>781.70787301234577</v>
      </c>
      <c r="AF427" s="344"/>
      <c r="AG427" s="359">
        <f t="shared" ca="1" si="201"/>
        <v>-14.460679310177765</v>
      </c>
      <c r="AH427" s="357">
        <f t="shared" ca="1" si="202"/>
        <v>-5.0524562002937436</v>
      </c>
    </row>
    <row r="428" spans="1:34" x14ac:dyDescent="0.25">
      <c r="A428" s="402">
        <f t="shared" ca="1" si="180"/>
        <v>0.1</v>
      </c>
      <c r="B428" s="357">
        <f t="shared" ca="1" si="181"/>
        <v>6.3999999999999506</v>
      </c>
      <c r="C428" s="342"/>
      <c r="D428" s="359">
        <f t="shared" ca="1" si="182"/>
        <v>-1.4080493679941295</v>
      </c>
      <c r="E428" s="360">
        <f t="shared" ca="1" si="183"/>
        <v>-14.539826049430559</v>
      </c>
      <c r="F428" s="357">
        <f t="shared" ca="1" si="184"/>
        <v>14.607845308956694</v>
      </c>
      <c r="G428" s="359">
        <f t="shared" ca="1" si="185"/>
        <v>36.677141925564761</v>
      </c>
      <c r="H428" s="360">
        <f t="shared" ca="1" si="186"/>
        <v>122.22242257979778</v>
      </c>
      <c r="I428" s="357">
        <f t="shared" ca="1" si="187"/>
        <v>127.6069485612076</v>
      </c>
      <c r="J428" s="359">
        <f t="shared" ca="1" si="188"/>
        <v>197.66028803628484</v>
      </c>
      <c r="K428" s="360">
        <f t="shared" ca="1" si="189"/>
        <v>794.00281440057267</v>
      </c>
      <c r="L428" s="357">
        <f t="shared" ca="1" si="174"/>
        <v>818.23594319891458</v>
      </c>
      <c r="M428" s="359">
        <f t="shared" ca="1" si="190"/>
        <v>1.2792613554926948</v>
      </c>
      <c r="N428" s="357">
        <f t="shared" ca="1" si="191"/>
        <v>73.296276563916265</v>
      </c>
      <c r="O428" s="343"/>
      <c r="P428" s="363">
        <f t="shared" ca="1" si="192"/>
        <v>23</v>
      </c>
      <c r="Q428" s="357">
        <f t="shared" ca="1" si="193"/>
        <v>0</v>
      </c>
      <c r="R428" s="359">
        <f t="shared" ca="1" si="194"/>
        <v>0</v>
      </c>
      <c r="S428" s="360">
        <f t="shared" ca="1" si="195"/>
        <v>8.6519999999999992</v>
      </c>
      <c r="T428" s="357">
        <f t="shared" ca="1" si="175"/>
        <v>84.87612</v>
      </c>
      <c r="U428" s="364">
        <f t="shared" ca="1" si="176"/>
        <v>0</v>
      </c>
      <c r="V428" s="359">
        <f t="shared" ca="1" si="177"/>
        <v>1.1314486567283617</v>
      </c>
      <c r="W428" s="357">
        <f t="shared" ca="1" si="178"/>
        <v>41.702598443504016</v>
      </c>
      <c r="X428" s="343"/>
      <c r="Y428" s="367" t="str">
        <f t="shared" ca="1" si="196"/>
        <v/>
      </c>
      <c r="Z428" s="368" t="str">
        <f t="shared" ca="1" si="197"/>
        <v/>
      </c>
      <c r="AA428" s="369" t="str">
        <f t="shared" ca="1" si="198"/>
        <v/>
      </c>
      <c r="AB428" s="344"/>
      <c r="AC428" s="363" t="e">
        <f t="shared" ca="1" si="199"/>
        <v>#N/A</v>
      </c>
      <c r="AD428" s="376" t="e">
        <f t="shared" ca="1" si="200"/>
        <v>#N/A</v>
      </c>
      <c r="AE428" s="377">
        <f t="shared" ca="1" si="179"/>
        <v>794.00281440057267</v>
      </c>
      <c r="AF428" s="344"/>
      <c r="AG428" s="359">
        <f t="shared" ca="1" si="201"/>
        <v>-14.337180321560147</v>
      </c>
      <c r="AH428" s="357">
        <f t="shared" ca="1" si="202"/>
        <v>-4.9349627638494455</v>
      </c>
    </row>
    <row r="429" spans="1:34" x14ac:dyDescent="0.25">
      <c r="A429" s="402">
        <f t="shared" ca="1" si="180"/>
        <v>0.1</v>
      </c>
      <c r="B429" s="357">
        <f t="shared" ca="1" si="181"/>
        <v>6.4999999999999503</v>
      </c>
      <c r="C429" s="342"/>
      <c r="D429" s="359">
        <f t="shared" ca="1" si="182"/>
        <v>-1.3853763443934182</v>
      </c>
      <c r="E429" s="360">
        <f t="shared" ca="1" si="183"/>
        <v>-14.426609804006711</v>
      </c>
      <c r="F429" s="357">
        <f t="shared" ca="1" si="184"/>
        <v>14.492975472713235</v>
      </c>
      <c r="G429" s="359">
        <f t="shared" ca="1" si="185"/>
        <v>36.538604291125417</v>
      </c>
      <c r="H429" s="360">
        <f t="shared" ca="1" si="186"/>
        <v>120.7797615993971</v>
      </c>
      <c r="I429" s="357">
        <f t="shared" ca="1" si="187"/>
        <v>126.18565851772003</v>
      </c>
      <c r="J429" s="359">
        <f t="shared" ca="1" si="188"/>
        <v>201.32107534711935</v>
      </c>
      <c r="K429" s="360">
        <f t="shared" ca="1" si="189"/>
        <v>806.15292360953242</v>
      </c>
      <c r="L429" s="357">
        <f t="shared" ca="1" si="174"/>
        <v>830.91077235953389</v>
      </c>
      <c r="M429" s="359">
        <f t="shared" ca="1" si="190"/>
        <v>1.2770268545998753</v>
      </c>
      <c r="N429" s="357">
        <f t="shared" ca="1" si="191"/>
        <v>73.168249093439499</v>
      </c>
      <c r="O429" s="343"/>
      <c r="P429" s="363">
        <f t="shared" ca="1" si="192"/>
        <v>23</v>
      </c>
      <c r="Q429" s="357">
        <f t="shared" ca="1" si="193"/>
        <v>0</v>
      </c>
      <c r="R429" s="359">
        <f t="shared" ca="1" si="194"/>
        <v>0</v>
      </c>
      <c r="S429" s="360">
        <f t="shared" ca="1" si="195"/>
        <v>8.6519999999999992</v>
      </c>
      <c r="T429" s="357">
        <f t="shared" ca="1" si="175"/>
        <v>84.87612</v>
      </c>
      <c r="U429" s="364">
        <f t="shared" ca="1" si="176"/>
        <v>0</v>
      </c>
      <c r="V429" s="359">
        <f t="shared" ca="1" si="177"/>
        <v>1.1300725681919714</v>
      </c>
      <c r="W429" s="357">
        <f t="shared" ca="1" si="178"/>
        <v>40.729206364943046</v>
      </c>
      <c r="X429" s="343"/>
      <c r="Y429" s="367" t="str">
        <f t="shared" ca="1" si="196"/>
        <v/>
      </c>
      <c r="Z429" s="368" t="str">
        <f t="shared" ca="1" si="197"/>
        <v/>
      </c>
      <c r="AA429" s="369" t="str">
        <f t="shared" ca="1" si="198"/>
        <v/>
      </c>
      <c r="AB429" s="344"/>
      <c r="AC429" s="363" t="e">
        <f t="shared" ca="1" si="199"/>
        <v>#N/A</v>
      </c>
      <c r="AD429" s="376" t="e">
        <f t="shared" ca="1" si="200"/>
        <v>#N/A</v>
      </c>
      <c r="AE429" s="377">
        <f t="shared" ca="1" si="179"/>
        <v>806.15292360953242</v>
      </c>
      <c r="AF429" s="344"/>
      <c r="AG429" s="359">
        <f t="shared" ca="1" si="201"/>
        <v>-14.216050654895719</v>
      </c>
      <c r="AH429" s="357">
        <f t="shared" ca="1" si="202"/>
        <v>-4.819995196891357</v>
      </c>
    </row>
    <row r="430" spans="1:34" x14ac:dyDescent="0.25">
      <c r="A430" s="402">
        <f t="shared" ca="1" si="180"/>
        <v>0.1</v>
      </c>
      <c r="B430" s="357">
        <f t="shared" ca="1" si="181"/>
        <v>6.5999999999999499</v>
      </c>
      <c r="C430" s="342"/>
      <c r="D430" s="359">
        <f t="shared" ca="1" si="182"/>
        <v>-1.3631115335804433</v>
      </c>
      <c r="E430" s="360">
        <f t="shared" ca="1" si="183"/>
        <v>-14.315817593564233</v>
      </c>
      <c r="F430" s="357">
        <f t="shared" ca="1" si="184"/>
        <v>14.380566971617748</v>
      </c>
      <c r="G430" s="359">
        <f t="shared" ca="1" si="185"/>
        <v>36.402293137767373</v>
      </c>
      <c r="H430" s="360">
        <f t="shared" ca="1" si="186"/>
        <v>119.34817984004069</v>
      </c>
      <c r="I430" s="357">
        <f t="shared" ca="1" si="187"/>
        <v>124.7762596683305</v>
      </c>
      <c r="J430" s="359">
        <f t="shared" ca="1" si="188"/>
        <v>204.968120218564</v>
      </c>
      <c r="K430" s="360">
        <f t="shared" ca="1" si="189"/>
        <v>818.15932068150437</v>
      </c>
      <c r="L430" s="357">
        <f t="shared" ca="1" si="174"/>
        <v>843.44330237660461</v>
      </c>
      <c r="M430" s="359">
        <f t="shared" ca="1" si="190"/>
        <v>1.2747502931620602</v>
      </c>
      <c r="N430" s="357">
        <f t="shared" ca="1" si="191"/>
        <v>73.037811731250457</v>
      </c>
      <c r="O430" s="343"/>
      <c r="P430" s="363">
        <f t="shared" ca="1" si="192"/>
        <v>23</v>
      </c>
      <c r="Q430" s="357">
        <f t="shared" ca="1" si="193"/>
        <v>0</v>
      </c>
      <c r="R430" s="359">
        <f t="shared" ca="1" si="194"/>
        <v>0</v>
      </c>
      <c r="S430" s="360">
        <f t="shared" ca="1" si="195"/>
        <v>8.6519999999999992</v>
      </c>
      <c r="T430" s="357">
        <f t="shared" ca="1" si="175"/>
        <v>84.87612</v>
      </c>
      <c r="U430" s="364">
        <f t="shared" ca="1" si="176"/>
        <v>0</v>
      </c>
      <c r="V430" s="359">
        <f t="shared" ca="1" si="177"/>
        <v>1.1287143339719592</v>
      </c>
      <c r="W430" s="357">
        <f t="shared" ca="1" si="178"/>
        <v>39.776593230421277</v>
      </c>
      <c r="X430" s="343"/>
      <c r="Y430" s="367" t="str">
        <f t="shared" ca="1" si="196"/>
        <v/>
      </c>
      <c r="Z430" s="368" t="str">
        <f t="shared" ca="1" si="197"/>
        <v/>
      </c>
      <c r="AA430" s="369" t="str">
        <f t="shared" ca="1" si="198"/>
        <v/>
      </c>
      <c r="AB430" s="344"/>
      <c r="AC430" s="363" t="e">
        <f t="shared" ca="1" si="199"/>
        <v>#N/A</v>
      </c>
      <c r="AD430" s="376" t="e">
        <f t="shared" ca="1" si="200"/>
        <v>#N/A</v>
      </c>
      <c r="AE430" s="377">
        <f t="shared" ca="1" si="179"/>
        <v>818.15932068150437</v>
      </c>
      <c r="AF430" s="344"/>
      <c r="AG430" s="359">
        <f t="shared" ca="1" si="201"/>
        <v>-14.097221902055571</v>
      </c>
      <c r="AH430" s="357">
        <f t="shared" ca="1" si="202"/>
        <v>-4.7074903334423315</v>
      </c>
    </row>
    <row r="431" spans="1:34" x14ac:dyDescent="0.25">
      <c r="A431" s="402">
        <f t="shared" ca="1" si="180"/>
        <v>0.1</v>
      </c>
      <c r="B431" s="357">
        <f t="shared" ca="1" si="181"/>
        <v>6.6999999999999496</v>
      </c>
      <c r="C431" s="342"/>
      <c r="D431" s="359">
        <f t="shared" ca="1" si="182"/>
        <v>-1.3412441877988153</v>
      </c>
      <c r="E431" s="360">
        <f t="shared" ca="1" si="183"/>
        <v>-14.207389250424571</v>
      </c>
      <c r="F431" s="357">
        <f t="shared" ca="1" si="184"/>
        <v>14.270558688586224</v>
      </c>
      <c r="G431" s="359">
        <f t="shared" ca="1" si="185"/>
        <v>36.268168718987489</v>
      </c>
      <c r="H431" s="360">
        <f t="shared" ca="1" si="186"/>
        <v>117.92744091499823</v>
      </c>
      <c r="I431" s="357">
        <f t="shared" ca="1" si="187"/>
        <v>123.3785288572908</v>
      </c>
      <c r="J431" s="359">
        <f t="shared" ca="1" si="188"/>
        <v>208.60164331140174</v>
      </c>
      <c r="K431" s="360">
        <f t="shared" ca="1" si="189"/>
        <v>830.02310171925626</v>
      </c>
      <c r="L431" s="357">
        <f t="shared" ca="1" si="174"/>
        <v>855.83467736466025</v>
      </c>
      <c r="M431" s="359">
        <f t="shared" ca="1" si="190"/>
        <v>1.2724306211154506</v>
      </c>
      <c r="N431" s="357">
        <f t="shared" ca="1" si="191"/>
        <v>72.904904313125243</v>
      </c>
      <c r="O431" s="343"/>
      <c r="P431" s="363">
        <f t="shared" ca="1" si="192"/>
        <v>23</v>
      </c>
      <c r="Q431" s="357">
        <f t="shared" ca="1" si="193"/>
        <v>0</v>
      </c>
      <c r="R431" s="359">
        <f t="shared" ca="1" si="194"/>
        <v>0</v>
      </c>
      <c r="S431" s="360">
        <f t="shared" ca="1" si="195"/>
        <v>8.6519999999999992</v>
      </c>
      <c r="T431" s="357">
        <f t="shared" ca="1" si="175"/>
        <v>84.87612</v>
      </c>
      <c r="U431" s="364">
        <f t="shared" ca="1" si="176"/>
        <v>0</v>
      </c>
      <c r="V431" s="359">
        <f t="shared" ca="1" si="177"/>
        <v>1.127373771297242</v>
      </c>
      <c r="W431" s="357">
        <f t="shared" ca="1" si="178"/>
        <v>38.844248112130785</v>
      </c>
      <c r="X431" s="343"/>
      <c r="Y431" s="367" t="str">
        <f t="shared" ca="1" si="196"/>
        <v/>
      </c>
      <c r="Z431" s="368" t="str">
        <f t="shared" ca="1" si="197"/>
        <v/>
      </c>
      <c r="AA431" s="369" t="str">
        <f t="shared" ca="1" si="198"/>
        <v/>
      </c>
      <c r="AB431" s="344"/>
      <c r="AC431" s="363" t="e">
        <f t="shared" ca="1" si="199"/>
        <v>#N/A</v>
      </c>
      <c r="AD431" s="376" t="e">
        <f t="shared" ca="1" si="200"/>
        <v>#N/A</v>
      </c>
      <c r="AE431" s="377">
        <f t="shared" ca="1" si="179"/>
        <v>830.02310171925626</v>
      </c>
      <c r="AF431" s="344"/>
      <c r="AG431" s="359">
        <f t="shared" ca="1" si="201"/>
        <v>-13.980627533215529</v>
      </c>
      <c r="AH431" s="357">
        <f t="shared" ca="1" si="202"/>
        <v>-4.5973871047643646</v>
      </c>
    </row>
    <row r="432" spans="1:34" x14ac:dyDescent="0.25">
      <c r="A432" s="402">
        <f t="shared" ca="1" si="180"/>
        <v>0.1</v>
      </c>
      <c r="B432" s="357">
        <f t="shared" ca="1" si="181"/>
        <v>6.7999999999999492</v>
      </c>
      <c r="C432" s="342"/>
      <c r="D432" s="359">
        <f t="shared" ca="1" si="182"/>
        <v>-1.3197639116113868</v>
      </c>
      <c r="E432" s="360">
        <f t="shared" ca="1" si="183"/>
        <v>-14.101266590110971</v>
      </c>
      <c r="F432" s="357">
        <f t="shared" ca="1" si="184"/>
        <v>14.162891520723148</v>
      </c>
      <c r="G432" s="359">
        <f t="shared" ca="1" si="185"/>
        <v>36.13619232782635</v>
      </c>
      <c r="H432" s="360">
        <f t="shared" ca="1" si="186"/>
        <v>116.51731425598713</v>
      </c>
      <c r="I432" s="357">
        <f t="shared" ca="1" si="187"/>
        <v>121.99224941520718</v>
      </c>
      <c r="J432" s="359">
        <f t="shared" ca="1" si="188"/>
        <v>212.22186136374245</v>
      </c>
      <c r="K432" s="360">
        <f t="shared" ca="1" si="189"/>
        <v>841.74533947780549</v>
      </c>
      <c r="L432" s="357">
        <f t="shared" ca="1" si="174"/>
        <v>868.08601818788532</v>
      </c>
      <c r="M432" s="359">
        <f t="shared" ca="1" si="190"/>
        <v>1.2700667531654077</v>
      </c>
      <c r="N432" s="357">
        <f t="shared" ca="1" si="191"/>
        <v>72.769464656261547</v>
      </c>
      <c r="O432" s="343"/>
      <c r="P432" s="363">
        <f t="shared" ca="1" si="192"/>
        <v>23</v>
      </c>
      <c r="Q432" s="357">
        <f t="shared" ca="1" si="193"/>
        <v>0</v>
      </c>
      <c r="R432" s="359">
        <f t="shared" ca="1" si="194"/>
        <v>0</v>
      </c>
      <c r="S432" s="360">
        <f t="shared" ca="1" si="195"/>
        <v>8.6519999999999992</v>
      </c>
      <c r="T432" s="357">
        <f t="shared" ca="1" si="175"/>
        <v>84.87612</v>
      </c>
      <c r="U432" s="364">
        <f t="shared" ca="1" si="176"/>
        <v>0</v>
      </c>
      <c r="V432" s="359">
        <f t="shared" ca="1" si="177"/>
        <v>1.1260507014585615</v>
      </c>
      <c r="W432" s="357">
        <f t="shared" ca="1" si="178"/>
        <v>37.931676847101436</v>
      </c>
      <c r="X432" s="343"/>
      <c r="Y432" s="367" t="str">
        <f t="shared" ca="1" si="196"/>
        <v/>
      </c>
      <c r="Z432" s="368" t="str">
        <f t="shared" ca="1" si="197"/>
        <v/>
      </c>
      <c r="AA432" s="369" t="str">
        <f t="shared" ca="1" si="198"/>
        <v/>
      </c>
      <c r="AB432" s="344"/>
      <c r="AC432" s="363" t="e">
        <f t="shared" ca="1" si="199"/>
        <v>#N/A</v>
      </c>
      <c r="AD432" s="376" t="e">
        <f t="shared" ca="1" si="200"/>
        <v>#N/A</v>
      </c>
      <c r="AE432" s="377">
        <f t="shared" ca="1" si="179"/>
        <v>841.74533947780549</v>
      </c>
      <c r="AF432" s="344"/>
      <c r="AG432" s="359">
        <f t="shared" ca="1" si="201"/>
        <v>-13.866202804430724</v>
      </c>
      <c r="AH432" s="357">
        <f t="shared" ca="1" si="202"/>
        <v>-4.4896264577127587</v>
      </c>
    </row>
    <row r="433" spans="1:34" x14ac:dyDescent="0.25">
      <c r="A433" s="402">
        <f t="shared" ca="1" si="180"/>
        <v>0.1</v>
      </c>
      <c r="B433" s="357">
        <f t="shared" ca="1" si="181"/>
        <v>6.8999999999999488</v>
      </c>
      <c r="C433" s="342"/>
      <c r="D433" s="359">
        <f t="shared" ca="1" si="182"/>
        <v>-1.2986606484684822</v>
      </c>
      <c r="E433" s="360">
        <f t="shared" ca="1" si="183"/>
        <v>-13.997393334548045</v>
      </c>
      <c r="F433" s="357">
        <f t="shared" ca="1" si="184"/>
        <v>14.057508301328889</v>
      </c>
      <c r="G433" s="359">
        <f t="shared" ca="1" si="185"/>
        <v>36.006326262979499</v>
      </c>
      <c r="H433" s="360">
        <f t="shared" ca="1" si="186"/>
        <v>115.11757492253233</v>
      </c>
      <c r="I433" s="357">
        <f t="shared" ca="1" si="187"/>
        <v>120.61721098997842</v>
      </c>
      <c r="J433" s="359">
        <f t="shared" ca="1" si="188"/>
        <v>215.82898729328275</v>
      </c>
      <c r="K433" s="360">
        <f t="shared" ca="1" si="189"/>
        <v>853.32708393673147</v>
      </c>
      <c r="L433" s="357">
        <f t="shared" ca="1" si="174"/>
        <v>880.19842304789984</v>
      </c>
      <c r="M433" s="359">
        <f t="shared" ca="1" si="190"/>
        <v>1.2676575673637211</v>
      </c>
      <c r="N433" s="357">
        <f t="shared" ca="1" si="191"/>
        <v>72.631428477762071</v>
      </c>
      <c r="O433" s="343"/>
      <c r="P433" s="363">
        <f t="shared" ca="1" si="192"/>
        <v>23</v>
      </c>
      <c r="Q433" s="357">
        <f t="shared" ca="1" si="193"/>
        <v>0</v>
      </c>
      <c r="R433" s="359">
        <f t="shared" ca="1" si="194"/>
        <v>0</v>
      </c>
      <c r="S433" s="360">
        <f t="shared" ca="1" si="195"/>
        <v>8.6519999999999992</v>
      </c>
      <c r="T433" s="357">
        <f t="shared" ca="1" si="175"/>
        <v>84.87612</v>
      </c>
      <c r="U433" s="364">
        <f t="shared" ca="1" si="176"/>
        <v>0</v>
      </c>
      <c r="V433" s="359">
        <f t="shared" ca="1" si="177"/>
        <v>1.1247449497037134</v>
      </c>
      <c r="W433" s="357">
        <f t="shared" ca="1" si="178"/>
        <v>37.038401393770442</v>
      </c>
      <c r="X433" s="343"/>
      <c r="Y433" s="367" t="str">
        <f t="shared" ca="1" si="196"/>
        <v/>
      </c>
      <c r="Z433" s="368" t="str">
        <f t="shared" ca="1" si="197"/>
        <v/>
      </c>
      <c r="AA433" s="369" t="str">
        <f t="shared" ca="1" si="198"/>
        <v/>
      </c>
      <c r="AB433" s="344"/>
      <c r="AC433" s="363" t="e">
        <f t="shared" ca="1" si="199"/>
        <v>#N/A</v>
      </c>
      <c r="AD433" s="376" t="e">
        <f t="shared" ca="1" si="200"/>
        <v>#N/A</v>
      </c>
      <c r="AE433" s="377">
        <f t="shared" ca="1" si="179"/>
        <v>853.32708393673147</v>
      </c>
      <c r="AF433" s="344"/>
      <c r="AG433" s="359">
        <f t="shared" ca="1" si="201"/>
        <v>-13.75388466833757</v>
      </c>
      <c r="AH433" s="357">
        <f t="shared" ca="1" si="202"/>
        <v>-4.3841512768263335</v>
      </c>
    </row>
    <row r="434" spans="1:34" x14ac:dyDescent="0.25">
      <c r="A434" s="402">
        <f t="shared" ca="1" si="180"/>
        <v>0.1</v>
      </c>
      <c r="B434" s="357">
        <f t="shared" ca="1" si="181"/>
        <v>6.9999999999999485</v>
      </c>
      <c r="C434" s="342"/>
      <c r="D434" s="359">
        <f t="shared" ca="1" si="182"/>
        <v>-1.2779246679021605</v>
      </c>
      <c r="E434" s="360">
        <f t="shared" ca="1" si="183"/>
        <v>-13.895715038744022</v>
      </c>
      <c r="F434" s="357">
        <f t="shared" ca="1" si="184"/>
        <v>13.954353725443886</v>
      </c>
      <c r="G434" s="359">
        <f t="shared" ca="1" si="185"/>
        <v>35.878533796189281</v>
      </c>
      <c r="H434" s="360">
        <f t="shared" ca="1" si="186"/>
        <v>113.72800341865792</v>
      </c>
      <c r="I434" s="357">
        <f t="shared" ca="1" si="187"/>
        <v>119.2532093864084</v>
      </c>
      <c r="J434" s="359">
        <f t="shared" ca="1" si="188"/>
        <v>219.4232302962412</v>
      </c>
      <c r="K434" s="360">
        <f t="shared" ca="1" si="189"/>
        <v>864.76936285379099</v>
      </c>
      <c r="L434" s="357">
        <f t="shared" ca="1" si="174"/>
        <v>892.17296805282604</v>
      </c>
      <c r="M434" s="359">
        <f t="shared" ca="1" si="190"/>
        <v>1.2652019036189162</v>
      </c>
      <c r="N434" s="357">
        <f t="shared" ca="1" si="191"/>
        <v>72.490729309281448</v>
      </c>
      <c r="O434" s="343"/>
      <c r="P434" s="363">
        <f t="shared" ca="1" si="192"/>
        <v>23</v>
      </c>
      <c r="Q434" s="357">
        <f t="shared" ca="1" si="193"/>
        <v>0</v>
      </c>
      <c r="R434" s="359">
        <f t="shared" ca="1" si="194"/>
        <v>0</v>
      </c>
      <c r="S434" s="360">
        <f t="shared" ca="1" si="195"/>
        <v>8.6519999999999992</v>
      </c>
      <c r="T434" s="357">
        <f t="shared" ca="1" si="175"/>
        <v>84.87612</v>
      </c>
      <c r="U434" s="364">
        <f t="shared" ca="1" si="176"/>
        <v>0</v>
      </c>
      <c r="V434" s="359">
        <f t="shared" ca="1" si="177"/>
        <v>1.1234563451363258</v>
      </c>
      <c r="W434" s="357">
        <f t="shared" ca="1" si="178"/>
        <v>36.163959217615478</v>
      </c>
      <c r="X434" s="343"/>
      <c r="Y434" s="367" t="str">
        <f t="shared" ca="1" si="196"/>
        <v/>
      </c>
      <c r="Z434" s="368" t="str">
        <f t="shared" ca="1" si="197"/>
        <v/>
      </c>
      <c r="AA434" s="369" t="str">
        <f t="shared" ca="1" si="198"/>
        <v/>
      </c>
      <c r="AB434" s="344"/>
      <c r="AC434" s="363">
        <f t="shared" ca="1" si="199"/>
        <v>6.9999999999999485</v>
      </c>
      <c r="AD434" s="376">
        <f t="shared" ca="1" si="200"/>
        <v>219.4232302962412</v>
      </c>
      <c r="AE434" s="377">
        <f t="shared" ca="1" si="179"/>
        <v>864.76936285379099</v>
      </c>
      <c r="AF434" s="344"/>
      <c r="AG434" s="359">
        <f t="shared" ca="1" si="201"/>
        <v>-13.643611687750759</v>
      </c>
      <c r="AH434" s="357">
        <f t="shared" ca="1" si="202"/>
        <v>-4.2809063099595983</v>
      </c>
    </row>
    <row r="435" spans="1:34" x14ac:dyDescent="0.25">
      <c r="A435" s="402">
        <f t="shared" ca="1" si="180"/>
        <v>0.1</v>
      </c>
      <c r="B435" s="357">
        <f t="shared" ca="1" si="181"/>
        <v>7.0999999999999481</v>
      </c>
      <c r="C435" s="342"/>
      <c r="D435" s="359">
        <f t="shared" ca="1" si="182"/>
        <v>-1.2575465533151533</v>
      </c>
      <c r="E435" s="360">
        <f t="shared" ca="1" si="183"/>
        <v>-13.796179020775298</v>
      </c>
      <c r="F435" s="357">
        <f t="shared" ca="1" si="184"/>
        <v>13.853374278746507</v>
      </c>
      <c r="G435" s="359">
        <f t="shared" ca="1" si="185"/>
        <v>35.752779140857768</v>
      </c>
      <c r="H435" s="360">
        <f t="shared" ca="1" si="186"/>
        <v>112.34838551658039</v>
      </c>
      <c r="I435" s="357">
        <f t="shared" ca="1" si="187"/>
        <v>117.90004641422803</v>
      </c>
      <c r="J435" s="359">
        <f t="shared" ca="1" si="188"/>
        <v>223.00479594309354</v>
      </c>
      <c r="K435" s="360">
        <f t="shared" ca="1" si="189"/>
        <v>876.07318230055296</v>
      </c>
      <c r="L435" s="357">
        <f t="shared" ca="1" si="174"/>
        <v>904.01070776835309</v>
      </c>
      <c r="M435" s="359">
        <f t="shared" ca="1" si="190"/>
        <v>1.2626985621360896</v>
      </c>
      <c r="N435" s="357">
        <f t="shared" ca="1" si="191"/>
        <v>72.347298407635463</v>
      </c>
      <c r="O435" s="343"/>
      <c r="P435" s="363">
        <f t="shared" ca="1" si="192"/>
        <v>23</v>
      </c>
      <c r="Q435" s="357">
        <f t="shared" ca="1" si="193"/>
        <v>0</v>
      </c>
      <c r="R435" s="359">
        <f t="shared" ca="1" si="194"/>
        <v>0</v>
      </c>
      <c r="S435" s="360">
        <f t="shared" ca="1" si="195"/>
        <v>8.6519999999999992</v>
      </c>
      <c r="T435" s="357">
        <f t="shared" ca="1" si="175"/>
        <v>84.87612</v>
      </c>
      <c r="U435" s="364">
        <f t="shared" ca="1" si="176"/>
        <v>0</v>
      </c>
      <c r="V435" s="359">
        <f t="shared" ca="1" si="177"/>
        <v>1.122184720618046</v>
      </c>
      <c r="W435" s="357">
        <f t="shared" ca="1" si="178"/>
        <v>35.307902704361766</v>
      </c>
      <c r="X435" s="343"/>
      <c r="Y435" s="367" t="str">
        <f t="shared" ca="1" si="196"/>
        <v/>
      </c>
      <c r="Z435" s="368" t="str">
        <f t="shared" ca="1" si="197"/>
        <v/>
      </c>
      <c r="AA435" s="369" t="str">
        <f t="shared" ca="1" si="198"/>
        <v/>
      </c>
      <c r="AB435" s="344"/>
      <c r="AC435" s="363" t="e">
        <f t="shared" ca="1" si="199"/>
        <v>#N/A</v>
      </c>
      <c r="AD435" s="376" t="e">
        <f t="shared" ca="1" si="200"/>
        <v>#N/A</v>
      </c>
      <c r="AE435" s="377">
        <f t="shared" ca="1" si="179"/>
        <v>876.07318230055296</v>
      </c>
      <c r="AF435" s="344"/>
      <c r="AG435" s="359">
        <f t="shared" ca="1" si="201"/>
        <v>-13.535323951931442</v>
      </c>
      <c r="AH435" s="357">
        <f t="shared" ca="1" si="202"/>
        <v>-4.1798380972740965</v>
      </c>
    </row>
    <row r="436" spans="1:34" x14ac:dyDescent="0.25">
      <c r="A436" s="402">
        <f t="shared" ca="1" si="180"/>
        <v>0.1</v>
      </c>
      <c r="B436" s="357">
        <f t="shared" ca="1" si="181"/>
        <v>7.1999999999999478</v>
      </c>
      <c r="C436" s="342"/>
      <c r="D436" s="359">
        <f t="shared" ca="1" si="182"/>
        <v>-1.2375171903350826</v>
      </c>
      <c r="E436" s="360">
        <f t="shared" ca="1" si="183"/>
        <v>-13.698734294903423</v>
      </c>
      <c r="F436" s="357">
        <f t="shared" ca="1" si="184"/>
        <v>13.754518169632043</v>
      </c>
      <c r="G436" s="359">
        <f t="shared" ca="1" si="185"/>
        <v>35.629027421824262</v>
      </c>
      <c r="H436" s="360">
        <f t="shared" ca="1" si="186"/>
        <v>110.97851208709005</v>
      </c>
      <c r="I436" s="357">
        <f t="shared" ca="1" si="187"/>
        <v>116.55752974428336</v>
      </c>
      <c r="J436" s="359">
        <f t="shared" ca="1" si="188"/>
        <v>226.57388627122765</v>
      </c>
      <c r="K436" s="360">
        <f t="shared" ca="1" si="189"/>
        <v>887.23952718073645</v>
      </c>
      <c r="L436" s="357">
        <f t="shared" ca="1" si="174"/>
        <v>915.71267575148477</v>
      </c>
      <c r="M436" s="359">
        <f t="shared" ca="1" si="190"/>
        <v>1.2601463017825809</v>
      </c>
      <c r="N436" s="357">
        <f t="shared" ca="1" si="191"/>
        <v>72.201064661160856</v>
      </c>
      <c r="O436" s="343"/>
      <c r="P436" s="363">
        <f t="shared" ca="1" si="192"/>
        <v>23</v>
      </c>
      <c r="Q436" s="357">
        <f t="shared" ca="1" si="193"/>
        <v>0</v>
      </c>
      <c r="R436" s="359">
        <f t="shared" ca="1" si="194"/>
        <v>0</v>
      </c>
      <c r="S436" s="360">
        <f t="shared" ca="1" si="195"/>
        <v>8.6519999999999992</v>
      </c>
      <c r="T436" s="357">
        <f t="shared" ca="1" si="175"/>
        <v>84.87612</v>
      </c>
      <c r="U436" s="364">
        <f t="shared" ca="1" si="176"/>
        <v>0</v>
      </c>
      <c r="V436" s="359">
        <f t="shared" ca="1" si="177"/>
        <v>1.1209299126739989</v>
      </c>
      <c r="W436" s="357">
        <f t="shared" ca="1" si="178"/>
        <v>34.469798599359031</v>
      </c>
      <c r="X436" s="343"/>
      <c r="Y436" s="367" t="str">
        <f t="shared" ca="1" si="196"/>
        <v/>
      </c>
      <c r="Z436" s="368" t="str">
        <f t="shared" ca="1" si="197"/>
        <v/>
      </c>
      <c r="AA436" s="369" t="str">
        <f t="shared" ca="1" si="198"/>
        <v/>
      </c>
      <c r="AB436" s="344"/>
      <c r="AC436" s="363" t="e">
        <f t="shared" ca="1" si="199"/>
        <v>#N/A</v>
      </c>
      <c r="AD436" s="376" t="e">
        <f t="shared" ca="1" si="200"/>
        <v>#N/A</v>
      </c>
      <c r="AE436" s="377">
        <f t="shared" ca="1" si="179"/>
        <v>887.23952718073645</v>
      </c>
      <c r="AF436" s="344"/>
      <c r="AG436" s="359">
        <f t="shared" ca="1" si="201"/>
        <v>-13.428962995310647</v>
      </c>
      <c r="AH436" s="357">
        <f t="shared" ca="1" si="202"/>
        <v>-4.0808949034167554</v>
      </c>
    </row>
    <row r="437" spans="1:34" x14ac:dyDescent="0.25">
      <c r="A437" s="402">
        <f t="shared" ca="1" si="180"/>
        <v>0.1</v>
      </c>
      <c r="B437" s="357">
        <f t="shared" ca="1" si="181"/>
        <v>7.2999999999999474</v>
      </c>
      <c r="C437" s="342"/>
      <c r="D437" s="359">
        <f t="shared" ca="1" si="182"/>
        <v>-1.2178277557062491</v>
      </c>
      <c r="E437" s="360">
        <f t="shared" ca="1" si="183"/>
        <v>-13.603331507664256</v>
      </c>
      <c r="F437" s="357">
        <f t="shared" ca="1" si="184"/>
        <v>13.657735264310098</v>
      </c>
      <c r="G437" s="359">
        <f t="shared" ca="1" si="185"/>
        <v>35.507244646253639</v>
      </c>
      <c r="H437" s="360">
        <f t="shared" ca="1" si="186"/>
        <v>109.61817893632363</v>
      </c>
      <c r="I437" s="357">
        <f t="shared" ca="1" si="187"/>
        <v>115.22547277266764</v>
      </c>
      <c r="J437" s="359">
        <f t="shared" ca="1" si="188"/>
        <v>230.13069987463155</v>
      </c>
      <c r="K437" s="360">
        <f t="shared" ca="1" si="189"/>
        <v>898.26936173190711</v>
      </c>
      <c r="L437" s="357">
        <f t="shared" ca="1" si="174"/>
        <v>927.27988506762915</v>
      </c>
      <c r="M437" s="359">
        <f t="shared" ca="1" si="190"/>
        <v>1.2575438383755688</v>
      </c>
      <c r="N437" s="357">
        <f t="shared" ca="1" si="191"/>
        <v>72.051954491601819</v>
      </c>
      <c r="O437" s="343"/>
      <c r="P437" s="363">
        <f t="shared" ca="1" si="192"/>
        <v>23</v>
      </c>
      <c r="Q437" s="357">
        <f t="shared" ca="1" si="193"/>
        <v>0</v>
      </c>
      <c r="R437" s="359">
        <f t="shared" ca="1" si="194"/>
        <v>0</v>
      </c>
      <c r="S437" s="360">
        <f t="shared" ca="1" si="195"/>
        <v>8.6519999999999992</v>
      </c>
      <c r="T437" s="357">
        <f t="shared" ca="1" si="175"/>
        <v>84.87612</v>
      </c>
      <c r="U437" s="364">
        <f t="shared" ca="1" si="176"/>
        <v>0</v>
      </c>
      <c r="V437" s="359">
        <f t="shared" ca="1" si="177"/>
        <v>1.1196917614013957</v>
      </c>
      <c r="W437" s="357">
        <f t="shared" ca="1" si="178"/>
        <v>33.649227471804522</v>
      </c>
      <c r="X437" s="343"/>
      <c r="Y437" s="367" t="str">
        <f t="shared" ca="1" si="196"/>
        <v/>
      </c>
      <c r="Z437" s="368" t="str">
        <f t="shared" ca="1" si="197"/>
        <v/>
      </c>
      <c r="AA437" s="369" t="str">
        <f t="shared" ca="1" si="198"/>
        <v/>
      </c>
      <c r="AB437" s="344"/>
      <c r="AC437" s="363" t="e">
        <f t="shared" ca="1" si="199"/>
        <v>#N/A</v>
      </c>
      <c r="AD437" s="376" t="e">
        <f t="shared" ca="1" si="200"/>
        <v>#N/A</v>
      </c>
      <c r="AE437" s="377">
        <f t="shared" ca="1" si="179"/>
        <v>898.26936173190711</v>
      </c>
      <c r="AF437" s="344"/>
      <c r="AG437" s="359">
        <f t="shared" ca="1" si="201"/>
        <v>-13.324471718458829</v>
      </c>
      <c r="AH437" s="357">
        <f t="shared" ca="1" si="202"/>
        <v>-3.984026652722958</v>
      </c>
    </row>
    <row r="438" spans="1:34" x14ac:dyDescent="0.25">
      <c r="A438" s="402">
        <f t="shared" ca="1" si="180"/>
        <v>0.1</v>
      </c>
      <c r="B438" s="357">
        <f t="shared" ca="1" si="181"/>
        <v>7.3999999999999471</v>
      </c>
      <c r="C438" s="342"/>
      <c r="D438" s="359">
        <f t="shared" ca="1" si="182"/>
        <v>-1.1984697066929937</v>
      </c>
      <c r="E438" s="360">
        <f t="shared" ca="1" si="183"/>
        <v>-13.50992287677825</v>
      </c>
      <c r="F438" s="357">
        <f t="shared" ca="1" si="184"/>
        <v>13.562977024766985</v>
      </c>
      <c r="G438" s="359">
        <f t="shared" ca="1" si="185"/>
        <v>35.387397675584339</v>
      </c>
      <c r="H438" s="360">
        <f t="shared" ca="1" si="186"/>
        <v>108.2671866486458</v>
      </c>
      <c r="I438" s="357">
        <f t="shared" ca="1" si="187"/>
        <v>113.90369449259606</v>
      </c>
      <c r="J438" s="359">
        <f t="shared" ca="1" si="188"/>
        <v>233.67543199072344</v>
      </c>
      <c r="K438" s="360">
        <f t="shared" ca="1" si="189"/>
        <v>909.16363001115553</v>
      </c>
      <c r="L438" s="357">
        <f t="shared" ca="1" si="174"/>
        <v>938.71332879165641</v>
      </c>
      <c r="M438" s="359">
        <f t="shared" ca="1" si="190"/>
        <v>1.2548898428874693</v>
      </c>
      <c r="N438" s="357">
        <f t="shared" ca="1" si="191"/>
        <v>71.899891751286958</v>
      </c>
      <c r="O438" s="343"/>
      <c r="P438" s="363">
        <f t="shared" ca="1" si="192"/>
        <v>23</v>
      </c>
      <c r="Q438" s="357">
        <f t="shared" ca="1" si="193"/>
        <v>0</v>
      </c>
      <c r="R438" s="359">
        <f t="shared" ca="1" si="194"/>
        <v>0</v>
      </c>
      <c r="S438" s="360">
        <f t="shared" ca="1" si="195"/>
        <v>8.6519999999999992</v>
      </c>
      <c r="T438" s="357">
        <f t="shared" ca="1" si="175"/>
        <v>84.87612</v>
      </c>
      <c r="U438" s="364">
        <f t="shared" ca="1" si="176"/>
        <v>0</v>
      </c>
      <c r="V438" s="359">
        <f t="shared" ca="1" si="177"/>
        <v>1.118470110381161</v>
      </c>
      <c r="W438" s="357">
        <f t="shared" ca="1" si="178"/>
        <v>32.845783202563553</v>
      </c>
      <c r="X438" s="343"/>
      <c r="Y438" s="367" t="str">
        <f t="shared" ca="1" si="196"/>
        <v/>
      </c>
      <c r="Z438" s="368" t="str">
        <f t="shared" ca="1" si="197"/>
        <v/>
      </c>
      <c r="AA438" s="369" t="str">
        <f t="shared" ca="1" si="198"/>
        <v/>
      </c>
      <c r="AB438" s="344"/>
      <c r="AC438" s="363" t="e">
        <f t="shared" ca="1" si="199"/>
        <v>#N/A</v>
      </c>
      <c r="AD438" s="376" t="e">
        <f t="shared" ca="1" si="200"/>
        <v>#N/A</v>
      </c>
      <c r="AE438" s="377">
        <f t="shared" ca="1" si="179"/>
        <v>909.16363001115553</v>
      </c>
      <c r="AF438" s="344"/>
      <c r="AG438" s="359">
        <f t="shared" ca="1" si="201"/>
        <v>-13.221794311098414</v>
      </c>
      <c r="AH438" s="357">
        <f t="shared" ca="1" si="202"/>
        <v>-3.889184867291323</v>
      </c>
    </row>
    <row r="439" spans="1:34" x14ac:dyDescent="0.25">
      <c r="A439" s="402">
        <f t="shared" ca="1" si="180"/>
        <v>0.1</v>
      </c>
      <c r="B439" s="357">
        <f t="shared" ca="1" si="181"/>
        <v>7.4999999999999467</v>
      </c>
      <c r="C439" s="342"/>
      <c r="D439" s="359">
        <f t="shared" ca="1" si="182"/>
        <v>-1.179434770970166</v>
      </c>
      <c r="E439" s="360">
        <f t="shared" ca="1" si="183"/>
        <v>-13.418462132739215</v>
      </c>
      <c r="F439" s="357">
        <f t="shared" ca="1" si="184"/>
        <v>13.470196449448304</v>
      </c>
      <c r="G439" s="359">
        <f t="shared" ca="1" si="185"/>
        <v>35.269454198487324</v>
      </c>
      <c r="H439" s="360">
        <f t="shared" ca="1" si="186"/>
        <v>106.92534043537188</v>
      </c>
      <c r="I439" s="357">
        <f t="shared" ca="1" si="187"/>
        <v>112.59201937384091</v>
      </c>
      <c r="J439" s="359">
        <f t="shared" ca="1" si="188"/>
        <v>237.20827458442702</v>
      </c>
      <c r="K439" s="360">
        <f t="shared" ca="1" si="189"/>
        <v>919.92325636535645</v>
      </c>
      <c r="L439" s="357">
        <f t="shared" ca="1" si="174"/>
        <v>950.01398049353054</v>
      </c>
      <c r="M439" s="359">
        <f t="shared" ca="1" si="190"/>
        <v>1.252182939564781</v>
      </c>
      <c r="N439" s="357">
        <f t="shared" ca="1" si="191"/>
        <v>71.744797615346982</v>
      </c>
      <c r="O439" s="343"/>
      <c r="P439" s="363">
        <f t="shared" ca="1" si="192"/>
        <v>23</v>
      </c>
      <c r="Q439" s="357">
        <f t="shared" ca="1" si="193"/>
        <v>0</v>
      </c>
      <c r="R439" s="359">
        <f t="shared" ca="1" si="194"/>
        <v>0</v>
      </c>
      <c r="S439" s="360">
        <f t="shared" ca="1" si="195"/>
        <v>8.6519999999999992</v>
      </c>
      <c r="T439" s="357">
        <f t="shared" ca="1" si="175"/>
        <v>84.87612</v>
      </c>
      <c r="U439" s="364">
        <f t="shared" ca="1" si="176"/>
        <v>0</v>
      </c>
      <c r="V439" s="359">
        <f t="shared" ca="1" si="177"/>
        <v>1.117264806592474</v>
      </c>
      <c r="W439" s="357">
        <f t="shared" ca="1" si="178"/>
        <v>32.059072494409413</v>
      </c>
      <c r="X439" s="343"/>
      <c r="Y439" s="367" t="str">
        <f t="shared" ca="1" si="196"/>
        <v/>
      </c>
      <c r="Z439" s="368" t="str">
        <f t="shared" ca="1" si="197"/>
        <v/>
      </c>
      <c r="AA439" s="369" t="str">
        <f t="shared" ca="1" si="198"/>
        <v/>
      </c>
      <c r="AB439" s="344"/>
      <c r="AC439" s="363" t="e">
        <f t="shared" ca="1" si="199"/>
        <v>#N/A</v>
      </c>
      <c r="AD439" s="376" t="e">
        <f t="shared" ca="1" si="200"/>
        <v>#N/A</v>
      </c>
      <c r="AE439" s="377">
        <f t="shared" ca="1" si="179"/>
        <v>919.92325636535645</v>
      </c>
      <c r="AF439" s="344"/>
      <c r="AG439" s="359">
        <f t="shared" ca="1" si="201"/>
        <v>-13.120876176961421</v>
      </c>
      <c r="AH439" s="357">
        <f t="shared" ca="1" si="202"/>
        <v>-3.796322607785894</v>
      </c>
    </row>
    <row r="440" spans="1:34" x14ac:dyDescent="0.25">
      <c r="A440" s="402">
        <f t="shared" ca="1" si="180"/>
        <v>0.1</v>
      </c>
      <c r="B440" s="357">
        <f t="shared" ca="1" si="181"/>
        <v>7.5999999999999464</v>
      </c>
      <c r="C440" s="342"/>
      <c r="D440" s="359">
        <f t="shared" ca="1" si="182"/>
        <v>-1.1607149369777119</v>
      </c>
      <c r="E440" s="360">
        <f t="shared" ca="1" si="183"/>
        <v>-13.328904462947035</v>
      </c>
      <c r="F440" s="357">
        <f t="shared" ca="1" si="184"/>
        <v>13.379348016525041</v>
      </c>
      <c r="G440" s="359">
        <f t="shared" ca="1" si="185"/>
        <v>35.15338270478955</v>
      </c>
      <c r="H440" s="360">
        <f t="shared" ca="1" si="186"/>
        <v>105.59244998907718</v>
      </c>
      <c r="I440" s="357">
        <f t="shared" ca="1" si="187"/>
        <v>111.29027724956553</v>
      </c>
      <c r="J440" s="359">
        <f t="shared" ca="1" si="188"/>
        <v>240.72941642959086</v>
      </c>
      <c r="K440" s="360">
        <f t="shared" ca="1" si="189"/>
        <v>930.54914588657891</v>
      </c>
      <c r="L440" s="357">
        <f t="shared" ca="1" si="174"/>
        <v>961.18279470908806</v>
      </c>
      <c r="M440" s="359">
        <f t="shared" ca="1" si="190"/>
        <v>1.2494217039557842</v>
      </c>
      <c r="N440" s="357">
        <f t="shared" ca="1" si="191"/>
        <v>71.586590468710227</v>
      </c>
      <c r="O440" s="343"/>
      <c r="P440" s="363">
        <f t="shared" ca="1" si="192"/>
        <v>23</v>
      </c>
      <c r="Q440" s="357">
        <f t="shared" ca="1" si="193"/>
        <v>0</v>
      </c>
      <c r="R440" s="359">
        <f t="shared" ca="1" si="194"/>
        <v>0</v>
      </c>
      <c r="S440" s="360">
        <f t="shared" ca="1" si="195"/>
        <v>8.6519999999999992</v>
      </c>
      <c r="T440" s="357">
        <f t="shared" ca="1" si="175"/>
        <v>84.87612</v>
      </c>
      <c r="U440" s="364">
        <f t="shared" ca="1" si="176"/>
        <v>0</v>
      </c>
      <c r="V440" s="359">
        <f t="shared" ca="1" si="177"/>
        <v>1.1160757003301001</v>
      </c>
      <c r="W440" s="357">
        <f t="shared" ca="1" si="178"/>
        <v>31.288714403570456</v>
      </c>
      <c r="X440" s="343"/>
      <c r="Y440" s="367" t="str">
        <f t="shared" ca="1" si="196"/>
        <v/>
      </c>
      <c r="Z440" s="368" t="str">
        <f t="shared" ca="1" si="197"/>
        <v/>
      </c>
      <c r="AA440" s="369" t="str">
        <f t="shared" ca="1" si="198"/>
        <v/>
      </c>
      <c r="AB440" s="344"/>
      <c r="AC440" s="363" t="e">
        <f t="shared" ca="1" si="199"/>
        <v>#N/A</v>
      </c>
      <c r="AD440" s="376" t="e">
        <f t="shared" ca="1" si="200"/>
        <v>#N/A</v>
      </c>
      <c r="AE440" s="377">
        <f t="shared" ca="1" si="179"/>
        <v>930.54914588657891</v>
      </c>
      <c r="AF440" s="344"/>
      <c r="AG440" s="359">
        <f t="shared" ca="1" si="201"/>
        <v>-13.021663860298695</v>
      </c>
      <c r="AH440" s="357">
        <f t="shared" ca="1" si="202"/>
        <v>-3.7053944168295674</v>
      </c>
    </row>
    <row r="441" spans="1:34" x14ac:dyDescent="0.25">
      <c r="A441" s="402">
        <f t="shared" ca="1" si="180"/>
        <v>0.1</v>
      </c>
      <c r="B441" s="357">
        <f t="shared" ca="1" si="181"/>
        <v>7.699999999999946</v>
      </c>
      <c r="C441" s="342"/>
      <c r="D441" s="359">
        <f t="shared" ca="1" si="182"/>
        <v>-1.1423024447177417</v>
      </c>
      <c r="E441" s="360">
        <f t="shared" ca="1" si="183"/>
        <v>-13.241206458257139</v>
      </c>
      <c r="F441" s="357">
        <f t="shared" ca="1" si="184"/>
        <v>13.29038762961407</v>
      </c>
      <c r="G441" s="359">
        <f t="shared" ca="1" si="185"/>
        <v>35.039152460317773</v>
      </c>
      <c r="H441" s="360">
        <f t="shared" ca="1" si="186"/>
        <v>104.26832934325147</v>
      </c>
      <c r="I441" s="357">
        <f t="shared" ca="1" si="187"/>
        <v>109.99830321041387</v>
      </c>
      <c r="J441" s="359">
        <f t="shared" ca="1" si="188"/>
        <v>244.23904318784622</v>
      </c>
      <c r="K441" s="360">
        <f t="shared" ca="1" si="189"/>
        <v>941.04218485319529</v>
      </c>
      <c r="L441" s="357">
        <f t="shared" ca="1" si="174"/>
        <v>972.22070739652008</v>
      </c>
      <c r="M441" s="359">
        <f t="shared" ca="1" si="190"/>
        <v>1.246604660842239</v>
      </c>
      <c r="N441" s="357">
        <f t="shared" ca="1" si="191"/>
        <v>71.425185787597698</v>
      </c>
      <c r="O441" s="343"/>
      <c r="P441" s="363">
        <f t="shared" ca="1" si="192"/>
        <v>23</v>
      </c>
      <c r="Q441" s="357">
        <f t="shared" ca="1" si="193"/>
        <v>0</v>
      </c>
      <c r="R441" s="359">
        <f t="shared" ca="1" si="194"/>
        <v>0</v>
      </c>
      <c r="S441" s="360">
        <f t="shared" ca="1" si="195"/>
        <v>8.6519999999999992</v>
      </c>
      <c r="T441" s="357">
        <f t="shared" ca="1" si="175"/>
        <v>84.87612</v>
      </c>
      <c r="U441" s="364">
        <f t="shared" ca="1" si="176"/>
        <v>0</v>
      </c>
      <c r="V441" s="359">
        <f t="shared" ca="1" si="177"/>
        <v>1.1149026451244175</v>
      </c>
      <c r="W441" s="357">
        <f t="shared" ca="1" si="178"/>
        <v>30.534339891534483</v>
      </c>
      <c r="X441" s="343"/>
      <c r="Y441" s="367" t="str">
        <f t="shared" ca="1" si="196"/>
        <v/>
      </c>
      <c r="Z441" s="368" t="str">
        <f t="shared" ca="1" si="197"/>
        <v/>
      </c>
      <c r="AA441" s="369" t="str">
        <f t="shared" ca="1" si="198"/>
        <v/>
      </c>
      <c r="AB441" s="344"/>
      <c r="AC441" s="363" t="e">
        <f t="shared" ca="1" si="199"/>
        <v>#N/A</v>
      </c>
      <c r="AD441" s="376" t="e">
        <f t="shared" ca="1" si="200"/>
        <v>#N/A</v>
      </c>
      <c r="AE441" s="377">
        <f t="shared" ca="1" si="179"/>
        <v>941.04218485319529</v>
      </c>
      <c r="AF441" s="344"/>
      <c r="AG441" s="359">
        <f t="shared" ca="1" si="201"/>
        <v>-12.924104973850779</v>
      </c>
      <c r="AH441" s="357">
        <f t="shared" ca="1" si="202"/>
        <v>-3.616356264860201</v>
      </c>
    </row>
    <row r="442" spans="1:34" x14ac:dyDescent="0.25">
      <c r="A442" s="402">
        <f t="shared" ca="1" si="180"/>
        <v>0.1</v>
      </c>
      <c r="B442" s="357">
        <f t="shared" ca="1" si="181"/>
        <v>7.7999999999999456</v>
      </c>
      <c r="C442" s="342"/>
      <c r="D442" s="359">
        <f t="shared" ca="1" si="182"/>
        <v>-1.1241897769737916</v>
      </c>
      <c r="E442" s="360">
        <f t="shared" ca="1" si="183"/>
        <v>-13.155326061826688</v>
      </c>
      <c r="F442" s="357">
        <f t="shared" ca="1" si="184"/>
        <v>13.203272565831126</v>
      </c>
      <c r="G442" s="359">
        <f t="shared" ca="1" si="185"/>
        <v>34.926733482620392</v>
      </c>
      <c r="H442" s="360">
        <f t="shared" ca="1" si="186"/>
        <v>102.95279673706879</v>
      </c>
      <c r="I442" s="357">
        <f t="shared" ca="1" si="187"/>
        <v>108.71593750573187</v>
      </c>
      <c r="J442" s="359">
        <f t="shared" ca="1" si="188"/>
        <v>247.73733748499313</v>
      </c>
      <c r="K442" s="360">
        <f t="shared" ca="1" si="189"/>
        <v>951.40324115721126</v>
      </c>
      <c r="L442" s="357">
        <f t="shared" ca="1" si="174"/>
        <v>983.12863637908549</v>
      </c>
      <c r="M442" s="359">
        <f t="shared" ca="1" si="190"/>
        <v>1.2437302820699621</v>
      </c>
      <c r="N442" s="357">
        <f t="shared" ca="1" si="191"/>
        <v>71.260496015224234</v>
      </c>
      <c r="O442" s="343"/>
      <c r="P442" s="363">
        <f t="shared" ca="1" si="192"/>
        <v>23</v>
      </c>
      <c r="Q442" s="357">
        <f t="shared" ca="1" si="193"/>
        <v>0</v>
      </c>
      <c r="R442" s="359">
        <f t="shared" ca="1" si="194"/>
        <v>0</v>
      </c>
      <c r="S442" s="360">
        <f t="shared" ca="1" si="195"/>
        <v>8.6519999999999992</v>
      </c>
      <c r="T442" s="357">
        <f t="shared" ca="1" si="175"/>
        <v>84.87612</v>
      </c>
      <c r="U442" s="364">
        <f t="shared" ca="1" si="176"/>
        <v>0</v>
      </c>
      <c r="V442" s="359">
        <f t="shared" ca="1" si="177"/>
        <v>1.1137454976640304</v>
      </c>
      <c r="W442" s="357">
        <f t="shared" ca="1" si="178"/>
        <v>29.795591396118301</v>
      </c>
      <c r="X442" s="343"/>
      <c r="Y442" s="367" t="str">
        <f t="shared" ca="1" si="196"/>
        <v/>
      </c>
      <c r="Z442" s="368" t="str">
        <f t="shared" ca="1" si="197"/>
        <v/>
      </c>
      <c r="AA442" s="369" t="str">
        <f t="shared" ca="1" si="198"/>
        <v/>
      </c>
      <c r="AB442" s="344"/>
      <c r="AC442" s="363" t="e">
        <f t="shared" ca="1" si="199"/>
        <v>#N/A</v>
      </c>
      <c r="AD442" s="376" t="e">
        <f t="shared" ca="1" si="200"/>
        <v>#N/A</v>
      </c>
      <c r="AE442" s="377">
        <f t="shared" ca="1" si="179"/>
        <v>951.40324115721126</v>
      </c>
      <c r="AF442" s="344"/>
      <c r="AG442" s="359">
        <f t="shared" ca="1" si="201"/>
        <v>-12.828148128093389</v>
      </c>
      <c r="AH442" s="357">
        <f t="shared" ca="1" si="202"/>
        <v>-3.5291654983280729</v>
      </c>
    </row>
    <row r="443" spans="1:34" x14ac:dyDescent="0.25">
      <c r="A443" s="402">
        <f t="shared" ca="1" si="180"/>
        <v>0.1</v>
      </c>
      <c r="B443" s="357">
        <f t="shared" ca="1" si="181"/>
        <v>7.8999999999999453</v>
      </c>
      <c r="C443" s="342"/>
      <c r="D443" s="359">
        <f t="shared" ca="1" si="182"/>
        <v>-1.1063696509331742</v>
      </c>
      <c r="E443" s="360">
        <f t="shared" ca="1" si="183"/>
        <v>-13.071222520143879</v>
      </c>
      <c r="F443" s="357">
        <f t="shared" ca="1" si="184"/>
        <v>13.11796142606093</v>
      </c>
      <c r="G443" s="359">
        <f t="shared" ca="1" si="185"/>
        <v>34.816096517527072</v>
      </c>
      <c r="H443" s="360">
        <f t="shared" ca="1" si="186"/>
        <v>101.6456744850544</v>
      </c>
      <c r="I443" s="357">
        <f t="shared" ca="1" si="187"/>
        <v>107.44302545181516</v>
      </c>
      <c r="J443" s="359">
        <f t="shared" ca="1" si="188"/>
        <v>251.2244789850005</v>
      </c>
      <c r="K443" s="360">
        <f t="shared" ca="1" si="189"/>
        <v>961.6331647183174</v>
      </c>
      <c r="L443" s="357">
        <f t="shared" ca="1" si="174"/>
        <v>993.90748177456214</v>
      </c>
      <c r="M443" s="359">
        <f t="shared" ca="1" si="190"/>
        <v>1.2407969842728848</v>
      </c>
      <c r="N443" s="357">
        <f t="shared" ca="1" si="191"/>
        <v>71.092430431396679</v>
      </c>
      <c r="O443" s="343"/>
      <c r="P443" s="363">
        <f t="shared" ca="1" si="192"/>
        <v>23</v>
      </c>
      <c r="Q443" s="357">
        <f t="shared" ca="1" si="193"/>
        <v>0</v>
      </c>
      <c r="R443" s="359">
        <f t="shared" ca="1" si="194"/>
        <v>0</v>
      </c>
      <c r="S443" s="360">
        <f t="shared" ca="1" si="195"/>
        <v>8.6519999999999992</v>
      </c>
      <c r="T443" s="357">
        <f t="shared" ca="1" si="175"/>
        <v>84.87612</v>
      </c>
      <c r="U443" s="364">
        <f t="shared" ca="1" si="176"/>
        <v>0</v>
      </c>
      <c r="V443" s="359">
        <f t="shared" ca="1" si="177"/>
        <v>1.1126041177208754</v>
      </c>
      <c r="W443" s="357">
        <f t="shared" ca="1" si="178"/>
        <v>29.072122420865036</v>
      </c>
      <c r="X443" s="343"/>
      <c r="Y443" s="367" t="str">
        <f t="shared" ca="1" si="196"/>
        <v/>
      </c>
      <c r="Z443" s="368" t="str">
        <f t="shared" ca="1" si="197"/>
        <v/>
      </c>
      <c r="AA443" s="369" t="str">
        <f t="shared" ca="1" si="198"/>
        <v/>
      </c>
      <c r="AB443" s="344"/>
      <c r="AC443" s="363" t="e">
        <f t="shared" ca="1" si="199"/>
        <v>#N/A</v>
      </c>
      <c r="AD443" s="376" t="e">
        <f t="shared" ca="1" si="200"/>
        <v>#N/A</v>
      </c>
      <c r="AE443" s="377">
        <f t="shared" ca="1" si="179"/>
        <v>961.6331647183174</v>
      </c>
      <c r="AF443" s="344"/>
      <c r="AG443" s="359">
        <f t="shared" ca="1" si="201"/>
        <v>-12.733742861572464</v>
      </c>
      <c r="AH443" s="357">
        <f t="shared" ca="1" si="202"/>
        <v>-3.4437807901200075</v>
      </c>
    </row>
    <row r="444" spans="1:34" x14ac:dyDescent="0.25">
      <c r="A444" s="402">
        <f t="shared" ca="1" si="180"/>
        <v>0.1</v>
      </c>
      <c r="B444" s="357">
        <f t="shared" ca="1" si="181"/>
        <v>7.9999999999999449</v>
      </c>
      <c r="C444" s="342"/>
      <c r="D444" s="359">
        <f t="shared" ca="1" si="182"/>
        <v>-1.0888350101944806</v>
      </c>
      <c r="E444" s="360">
        <f t="shared" ca="1" si="183"/>
        <v>-12.988856336133003</v>
      </c>
      <c r="F444" s="357">
        <f t="shared" ca="1" si="184"/>
        <v>13.034414087335405</v>
      </c>
      <c r="G444" s="359">
        <f t="shared" ca="1" si="185"/>
        <v>34.707213016507623</v>
      </c>
      <c r="H444" s="360">
        <f t="shared" ca="1" si="186"/>
        <v>100.3467888514411</v>
      </c>
      <c r="I444" s="357">
        <f t="shared" ca="1" si="187"/>
        <v>106.1794173470967</v>
      </c>
      <c r="J444" s="359">
        <f t="shared" ca="1" si="188"/>
        <v>254.70064446170224</v>
      </c>
      <c r="K444" s="360">
        <f t="shared" ca="1" si="189"/>
        <v>971.73278788514222</v>
      </c>
      <c r="L444" s="357">
        <f t="shared" ca="1" si="174"/>
        <v>1004.5581264119251</v>
      </c>
      <c r="M444" s="359">
        <f t="shared" ca="1" si="190"/>
        <v>1.2378031264848868</v>
      </c>
      <c r="N444" s="357">
        <f t="shared" ca="1" si="191"/>
        <v>70.920895015682021</v>
      </c>
      <c r="O444" s="343"/>
      <c r="P444" s="363">
        <f t="shared" ca="1" si="192"/>
        <v>23</v>
      </c>
      <c r="Q444" s="357">
        <f t="shared" ca="1" si="193"/>
        <v>0</v>
      </c>
      <c r="R444" s="359">
        <f t="shared" ca="1" si="194"/>
        <v>0</v>
      </c>
      <c r="S444" s="360">
        <f t="shared" ca="1" si="195"/>
        <v>8.6519999999999992</v>
      </c>
      <c r="T444" s="357">
        <f t="shared" ca="1" si="175"/>
        <v>84.87612</v>
      </c>
      <c r="U444" s="364">
        <f t="shared" ca="1" si="176"/>
        <v>0</v>
      </c>
      <c r="V444" s="359">
        <f t="shared" ca="1" si="177"/>
        <v>1.1114783680777252</v>
      </c>
      <c r="W444" s="357">
        <f t="shared" ca="1" si="178"/>
        <v>28.363597141883186</v>
      </c>
      <c r="X444" s="343"/>
      <c r="Y444" s="367" t="str">
        <f t="shared" ca="1" si="196"/>
        <v/>
      </c>
      <c r="Z444" s="368" t="str">
        <f t="shared" ca="1" si="197"/>
        <v/>
      </c>
      <c r="AA444" s="369" t="str">
        <f t="shared" ca="1" si="198"/>
        <v/>
      </c>
      <c r="AB444" s="344"/>
      <c r="AC444" s="363">
        <f t="shared" ca="1" si="199"/>
        <v>7.9999999999999449</v>
      </c>
      <c r="AD444" s="376">
        <f t="shared" ca="1" si="200"/>
        <v>254.70064446170224</v>
      </c>
      <c r="AE444" s="377">
        <f t="shared" ca="1" si="179"/>
        <v>971.73278788514222</v>
      </c>
      <c r="AF444" s="344"/>
      <c r="AG444" s="359">
        <f t="shared" ca="1" si="201"/>
        <v>-12.640839572145165</v>
      </c>
      <c r="AH444" s="357">
        <f t="shared" ca="1" si="202"/>
        <v>-3.3601620921018305</v>
      </c>
    </row>
    <row r="445" spans="1:34" x14ac:dyDescent="0.25">
      <c r="A445" s="402">
        <f t="shared" ca="1" si="180"/>
        <v>0.1</v>
      </c>
      <c r="B445" s="357">
        <f t="shared" ca="1" si="181"/>
        <v>8.0999999999999446</v>
      </c>
      <c r="C445" s="342"/>
      <c r="D445" s="359">
        <f t="shared" ca="1" si="182"/>
        <v>-1.071579017143419</v>
      </c>
      <c r="E445" s="360">
        <f t="shared" ca="1" si="183"/>
        <v>-12.908189224233642</v>
      </c>
      <c r="F445" s="357">
        <f t="shared" ca="1" si="184"/>
        <v>12.95259165721685</v>
      </c>
      <c r="G445" s="359">
        <f t="shared" ca="1" si="185"/>
        <v>34.600055114793278</v>
      </c>
      <c r="H445" s="360">
        <f t="shared" ca="1" si="186"/>
        <v>99.055969929017735</v>
      </c>
      <c r="I445" s="357">
        <f t="shared" ca="1" si="187"/>
        <v>104.92496839420633</v>
      </c>
      <c r="J445" s="359">
        <f t="shared" ca="1" si="188"/>
        <v>258.16600786826729</v>
      </c>
      <c r="K445" s="360">
        <f t="shared" ca="1" si="189"/>
        <v>981.70292582416516</v>
      </c>
      <c r="L445" s="357">
        <f t="shared" ca="1" si="174"/>
        <v>1015.0814362357163</v>
      </c>
      <c r="M445" s="359">
        <f t="shared" ca="1" si="190"/>
        <v>1.2347470076333991</v>
      </c>
      <c r="N445" s="357">
        <f t="shared" ca="1" si="191"/>
        <v>70.745792303801409</v>
      </c>
      <c r="O445" s="343"/>
      <c r="P445" s="363">
        <f t="shared" ca="1" si="192"/>
        <v>23</v>
      </c>
      <c r="Q445" s="357">
        <f t="shared" ca="1" si="193"/>
        <v>0</v>
      </c>
      <c r="R445" s="359">
        <f t="shared" ca="1" si="194"/>
        <v>0</v>
      </c>
      <c r="S445" s="360">
        <f t="shared" ca="1" si="195"/>
        <v>8.6519999999999992</v>
      </c>
      <c r="T445" s="357">
        <f t="shared" ca="1" si="175"/>
        <v>84.87612</v>
      </c>
      <c r="U445" s="364">
        <f t="shared" ca="1" si="176"/>
        <v>0</v>
      </c>
      <c r="V445" s="359">
        <f t="shared" ca="1" si="177"/>
        <v>1.1103681144580058</v>
      </c>
      <c r="W445" s="357">
        <f t="shared" ca="1" si="178"/>
        <v>27.669690031289445</v>
      </c>
      <c r="X445" s="343"/>
      <c r="Y445" s="367" t="str">
        <f t="shared" ca="1" si="196"/>
        <v/>
      </c>
      <c r="Z445" s="368" t="str">
        <f t="shared" ca="1" si="197"/>
        <v/>
      </c>
      <c r="AA445" s="369" t="str">
        <f t="shared" ca="1" si="198"/>
        <v/>
      </c>
      <c r="AB445" s="344"/>
      <c r="AC445" s="363" t="e">
        <f t="shared" ca="1" si="199"/>
        <v>#N/A</v>
      </c>
      <c r="AD445" s="376" t="e">
        <f t="shared" ca="1" si="200"/>
        <v>#N/A</v>
      </c>
      <c r="AE445" s="377">
        <f t="shared" ca="1" si="179"/>
        <v>981.70292582416516</v>
      </c>
      <c r="AF445" s="344"/>
      <c r="AG445" s="359">
        <f t="shared" ca="1" si="201"/>
        <v>-12.549389448943625</v>
      </c>
      <c r="AH445" s="357">
        <f t="shared" ca="1" si="202"/>
        <v>-3.2782705896767439</v>
      </c>
    </row>
    <row r="446" spans="1:34" x14ac:dyDescent="0.25">
      <c r="A446" s="402">
        <f t="shared" ca="1" si="180"/>
        <v>0.1</v>
      </c>
      <c r="B446" s="357">
        <f t="shared" ca="1" si="181"/>
        <v>8.1999999999999442</v>
      </c>
      <c r="C446" s="342"/>
      <c r="D446" s="359">
        <f t="shared" ca="1" si="182"/>
        <v>-1.0545950456811826</v>
      </c>
      <c r="E446" s="360">
        <f t="shared" ca="1" si="183"/>
        <v>-12.82918406735782</v>
      </c>
      <c r="F446" s="357">
        <f t="shared" ca="1" si="184"/>
        <v>12.872456430088356</v>
      </c>
      <c r="G446" s="359">
        <f t="shared" ca="1" si="185"/>
        <v>34.494595610225161</v>
      </c>
      <c r="H446" s="360">
        <f t="shared" ca="1" si="186"/>
        <v>97.773051522281946</v>
      </c>
      <c r="I446" s="357">
        <f t="shared" ca="1" si="187"/>
        <v>103.67953862885273</v>
      </c>
      <c r="J446" s="359">
        <f t="shared" ca="1" si="188"/>
        <v>261.62074040451819</v>
      </c>
      <c r="K446" s="360">
        <f t="shared" ca="1" si="189"/>
        <v>991.54437689673011</v>
      </c>
      <c r="L446" s="357">
        <f t="shared" ca="1" si="174"/>
        <v>1025.4782606985548</v>
      </c>
      <c r="M446" s="359">
        <f t="shared" ca="1" si="190"/>
        <v>1.2316268639084378</v>
      </c>
      <c r="N446" s="357">
        <f t="shared" ca="1" si="191"/>
        <v>70.567021236886902</v>
      </c>
      <c r="O446" s="343"/>
      <c r="P446" s="363">
        <f t="shared" ca="1" si="192"/>
        <v>23</v>
      </c>
      <c r="Q446" s="357">
        <f t="shared" ca="1" si="193"/>
        <v>0</v>
      </c>
      <c r="R446" s="359">
        <f t="shared" ca="1" si="194"/>
        <v>0</v>
      </c>
      <c r="S446" s="360">
        <f t="shared" ca="1" si="195"/>
        <v>8.6519999999999992</v>
      </c>
      <c r="T446" s="357">
        <f t="shared" ca="1" si="175"/>
        <v>84.87612</v>
      </c>
      <c r="U446" s="364">
        <f t="shared" ca="1" si="176"/>
        <v>0</v>
      </c>
      <c r="V446" s="359">
        <f t="shared" ca="1" si="177"/>
        <v>1.1092732254578346</v>
      </c>
      <c r="W446" s="357">
        <f t="shared" ca="1" si="178"/>
        <v>26.990085496462392</v>
      </c>
      <c r="X446" s="343"/>
      <c r="Y446" s="367" t="str">
        <f t="shared" ca="1" si="196"/>
        <v/>
      </c>
      <c r="Z446" s="368" t="str">
        <f t="shared" ca="1" si="197"/>
        <v/>
      </c>
      <c r="AA446" s="369" t="str">
        <f t="shared" ca="1" si="198"/>
        <v/>
      </c>
      <c r="AB446" s="344"/>
      <c r="AC446" s="363" t="e">
        <f t="shared" ca="1" si="199"/>
        <v>#N/A</v>
      </c>
      <c r="AD446" s="376" t="e">
        <f t="shared" ca="1" si="200"/>
        <v>#N/A</v>
      </c>
      <c r="AE446" s="377">
        <f t="shared" ca="1" si="179"/>
        <v>991.54437689673011</v>
      </c>
      <c r="AF446" s="344"/>
      <c r="AG446" s="359">
        <f t="shared" ca="1" si="201"/>
        <v>-12.459344404878294</v>
      </c>
      <c r="AH446" s="357">
        <f t="shared" ca="1" si="202"/>
        <v>-3.1980686582627653</v>
      </c>
    </row>
    <row r="447" spans="1:34" x14ac:dyDescent="0.25">
      <c r="A447" s="402">
        <f t="shared" ca="1" si="180"/>
        <v>0.1</v>
      </c>
      <c r="B447" s="357">
        <f t="shared" ca="1" si="181"/>
        <v>8.2999999999999439</v>
      </c>
      <c r="C447" s="342"/>
      <c r="D447" s="359">
        <f t="shared" ca="1" si="182"/>
        <v>-1.0378766742905354</v>
      </c>
      <c r="E447" s="360">
        <f t="shared" ca="1" si="183"/>
        <v>-12.75180487563399</v>
      </c>
      <c r="F447" s="357">
        <f t="shared" ca="1" si="184"/>
        <v>12.793971845258969</v>
      </c>
      <c r="G447" s="359">
        <f t="shared" ca="1" si="185"/>
        <v>34.390807942796108</v>
      </c>
      <c r="H447" s="360">
        <f t="shared" ca="1" si="186"/>
        <v>96.497871034718543</v>
      </c>
      <c r="I447" s="357">
        <f t="shared" ca="1" si="187"/>
        <v>102.44299285549724</v>
      </c>
      <c r="J447" s="359">
        <f t="shared" ca="1" si="188"/>
        <v>265.06501058216924</v>
      </c>
      <c r="K447" s="360">
        <f t="shared" ca="1" si="189"/>
        <v>1001.2579230245801</v>
      </c>
      <c r="L447" s="357">
        <f t="shared" ca="1" si="174"/>
        <v>1035.7494331422158</v>
      </c>
      <c r="M447" s="359">
        <f t="shared" ca="1" si="190"/>
        <v>1.2284408660003903</v>
      </c>
      <c r="N447" s="357">
        <f t="shared" ca="1" si="191"/>
        <v>70.384477003218265</v>
      </c>
      <c r="O447" s="343"/>
      <c r="P447" s="363">
        <f t="shared" ca="1" si="192"/>
        <v>23</v>
      </c>
      <c r="Q447" s="357">
        <f t="shared" ca="1" si="193"/>
        <v>0</v>
      </c>
      <c r="R447" s="359">
        <f t="shared" ca="1" si="194"/>
        <v>0</v>
      </c>
      <c r="S447" s="360">
        <f t="shared" ca="1" si="195"/>
        <v>8.6519999999999992</v>
      </c>
      <c r="T447" s="357">
        <f t="shared" ca="1" si="175"/>
        <v>84.87612</v>
      </c>
      <c r="U447" s="364">
        <f t="shared" ca="1" si="176"/>
        <v>0</v>
      </c>
      <c r="V447" s="359">
        <f t="shared" ca="1" si="177"/>
        <v>1.1081935724802086</v>
      </c>
      <c r="W447" s="357">
        <f t="shared" ca="1" si="178"/>
        <v>26.324477534357221</v>
      </c>
      <c r="X447" s="343"/>
      <c r="Y447" s="367" t="str">
        <f t="shared" ca="1" si="196"/>
        <v/>
      </c>
      <c r="Z447" s="368" t="str">
        <f t="shared" ca="1" si="197"/>
        <v/>
      </c>
      <c r="AA447" s="369" t="str">
        <f t="shared" ca="1" si="198"/>
        <v/>
      </c>
      <c r="AB447" s="344"/>
      <c r="AC447" s="363" t="e">
        <f t="shared" ca="1" si="199"/>
        <v>#N/A</v>
      </c>
      <c r="AD447" s="376" t="e">
        <f t="shared" ca="1" si="200"/>
        <v>#N/A</v>
      </c>
      <c r="AE447" s="377">
        <f t="shared" ca="1" si="179"/>
        <v>1001.2579230245801</v>
      </c>
      <c r="AF447" s="344"/>
      <c r="AG447" s="359">
        <f t="shared" ca="1" si="201"/>
        <v>-12.370657009496554</v>
      </c>
      <c r="AH447" s="357">
        <f t="shared" ca="1" si="202"/>
        <v>-3.1195198215975952</v>
      </c>
    </row>
    <row r="448" spans="1:34" x14ac:dyDescent="0.25">
      <c r="A448" s="402">
        <f t="shared" ca="1" si="180"/>
        <v>0.1</v>
      </c>
      <c r="B448" s="357">
        <f t="shared" ca="1" si="181"/>
        <v>8.3999999999999435</v>
      </c>
      <c r="C448" s="342"/>
      <c r="D448" s="359">
        <f t="shared" ca="1" si="182"/>
        <v>-1.0214176794257546</v>
      </c>
      <c r="E448" s="360">
        <f t="shared" ca="1" si="183"/>
        <v>-12.676016746851522</v>
      </c>
      <c r="F448" s="357">
        <f t="shared" ca="1" si="184"/>
        <v>12.717102446795959</v>
      </c>
      <c r="G448" s="359">
        <f t="shared" ca="1" si="185"/>
        <v>34.288666174853532</v>
      </c>
      <c r="H448" s="360">
        <f t="shared" ca="1" si="186"/>
        <v>95.23026936003339</v>
      </c>
      <c r="I448" s="357">
        <f t="shared" ca="1" si="187"/>
        <v>101.21520058980795</v>
      </c>
      <c r="J448" s="359">
        <f t="shared" ca="1" si="188"/>
        <v>268.4989842880517</v>
      </c>
      <c r="K448" s="360">
        <f t="shared" ca="1" si="189"/>
        <v>1010.8443300443178</v>
      </c>
      <c r="L448" s="357">
        <f t="shared" ca="1" si="174"/>
        <v>1045.8957711676919</v>
      </c>
      <c r="M448" s="359">
        <f t="shared" ca="1" si="190"/>
        <v>1.2251871161995185</v>
      </c>
      <c r="N448" s="357">
        <f t="shared" ca="1" si="191"/>
        <v>70.198050872036788</v>
      </c>
      <c r="O448" s="343"/>
      <c r="P448" s="363">
        <f t="shared" ca="1" si="192"/>
        <v>23</v>
      </c>
      <c r="Q448" s="357">
        <f t="shared" ca="1" si="193"/>
        <v>0</v>
      </c>
      <c r="R448" s="359">
        <f t="shared" ca="1" si="194"/>
        <v>0</v>
      </c>
      <c r="S448" s="360">
        <f t="shared" ca="1" si="195"/>
        <v>8.6519999999999992</v>
      </c>
      <c r="T448" s="357">
        <f t="shared" ca="1" si="175"/>
        <v>84.87612</v>
      </c>
      <c r="U448" s="364">
        <f t="shared" ca="1" si="176"/>
        <v>0</v>
      </c>
      <c r="V448" s="359">
        <f t="shared" ca="1" si="177"/>
        <v>1.1071290296712528</v>
      </c>
      <c r="W448" s="357">
        <f t="shared" ca="1" si="178"/>
        <v>25.672569400170989</v>
      </c>
      <c r="X448" s="343"/>
      <c r="Y448" s="367" t="str">
        <f t="shared" ca="1" si="196"/>
        <v/>
      </c>
      <c r="Z448" s="368" t="str">
        <f t="shared" ca="1" si="197"/>
        <v/>
      </c>
      <c r="AA448" s="369" t="str">
        <f t="shared" ca="1" si="198"/>
        <v/>
      </c>
      <c r="AB448" s="344"/>
      <c r="AC448" s="363" t="e">
        <f t="shared" ca="1" si="199"/>
        <v>#N/A</v>
      </c>
      <c r="AD448" s="376" t="e">
        <f t="shared" ca="1" si="200"/>
        <v>#N/A</v>
      </c>
      <c r="AE448" s="377">
        <f t="shared" ca="1" si="179"/>
        <v>1010.8443300443178</v>
      </c>
      <c r="AF448" s="344"/>
      <c r="AG448" s="359">
        <f t="shared" ca="1" si="201"/>
        <v>-12.283280422010767</v>
      </c>
      <c r="AH448" s="357">
        <f t="shared" ca="1" si="202"/>
        <v>-3.0425887117842376</v>
      </c>
    </row>
    <row r="449" spans="1:34" x14ac:dyDescent="0.25">
      <c r="A449" s="402">
        <f t="shared" ca="1" si="180"/>
        <v>0.1</v>
      </c>
      <c r="B449" s="357">
        <f t="shared" ca="1" si="181"/>
        <v>8.4999999999999432</v>
      </c>
      <c r="C449" s="342"/>
      <c r="D449" s="359">
        <f t="shared" ca="1" si="182"/>
        <v>-1.0052120292134252</v>
      </c>
      <c r="E449" s="360">
        <f t="shared" ca="1" si="183"/>
        <v>-12.601785828523823</v>
      </c>
      <c r="F449" s="357">
        <f t="shared" ca="1" si="184"/>
        <v>12.64181384500101</v>
      </c>
      <c r="G449" s="359">
        <f t="shared" ca="1" si="185"/>
        <v>34.188144971932189</v>
      </c>
      <c r="H449" s="360">
        <f t="shared" ca="1" si="186"/>
        <v>93.970090777181014</v>
      </c>
      <c r="I449" s="357">
        <f t="shared" ca="1" si="187"/>
        <v>99.996036007901296</v>
      </c>
      <c r="J449" s="359">
        <f t="shared" ca="1" si="188"/>
        <v>271.92282484539101</v>
      </c>
      <c r="K449" s="360">
        <f t="shared" ca="1" si="189"/>
        <v>1020.3043480511785</v>
      </c>
      <c r="L449" s="357">
        <f t="shared" ca="1" si="174"/>
        <v>1055.9180769946302</v>
      </c>
      <c r="M449" s="359">
        <f t="shared" ca="1" si="190"/>
        <v>1.2218636453497713</v>
      </c>
      <c r="N449" s="357">
        <f t="shared" ca="1" si="191"/>
        <v>70.007630019011515</v>
      </c>
      <c r="O449" s="343"/>
      <c r="P449" s="363">
        <f t="shared" ca="1" si="192"/>
        <v>23</v>
      </c>
      <c r="Q449" s="357">
        <f t="shared" ca="1" si="193"/>
        <v>0</v>
      </c>
      <c r="R449" s="359">
        <f t="shared" ca="1" si="194"/>
        <v>0</v>
      </c>
      <c r="S449" s="360">
        <f t="shared" ca="1" si="195"/>
        <v>8.6519999999999992</v>
      </c>
      <c r="T449" s="357">
        <f t="shared" ca="1" si="175"/>
        <v>84.87612</v>
      </c>
      <c r="U449" s="364">
        <f t="shared" ca="1" si="176"/>
        <v>0</v>
      </c>
      <c r="V449" s="359">
        <f t="shared" ca="1" si="177"/>
        <v>1.1060794738584678</v>
      </c>
      <c r="W449" s="357">
        <f t="shared" ca="1" si="178"/>
        <v>25.034073289686336</v>
      </c>
      <c r="X449" s="343"/>
      <c r="Y449" s="367" t="str">
        <f t="shared" ca="1" si="196"/>
        <v/>
      </c>
      <c r="Z449" s="368" t="str">
        <f t="shared" ca="1" si="197"/>
        <v/>
      </c>
      <c r="AA449" s="369" t="str">
        <f t="shared" ca="1" si="198"/>
        <v/>
      </c>
      <c r="AB449" s="344"/>
      <c r="AC449" s="363" t="e">
        <f t="shared" ca="1" si="199"/>
        <v>#N/A</v>
      </c>
      <c r="AD449" s="376" t="e">
        <f t="shared" ca="1" si="200"/>
        <v>#N/A</v>
      </c>
      <c r="AE449" s="377">
        <f t="shared" ca="1" si="179"/>
        <v>1020.3043480511785</v>
      </c>
      <c r="AF449" s="344"/>
      <c r="AG449" s="359">
        <f t="shared" ca="1" si="201"/>
        <v>-12.197168324307363</v>
      </c>
      <c r="AH449" s="357">
        <f t="shared" ca="1" si="202"/>
        <v>-2.9672410309952602</v>
      </c>
    </row>
    <row r="450" spans="1:34" x14ac:dyDescent="0.25">
      <c r="A450" s="402">
        <f t="shared" ca="1" si="180"/>
        <v>0.1</v>
      </c>
      <c r="B450" s="357">
        <f t="shared" ca="1" si="181"/>
        <v>8.5999999999999428</v>
      </c>
      <c r="C450" s="342"/>
      <c r="D450" s="359">
        <f t="shared" ca="1" si="182"/>
        <v>-0.98925387745197824</v>
      </c>
      <c r="E450" s="360">
        <f t="shared" ca="1" si="183"/>
        <v>-12.529079281492439</v>
      </c>
      <c r="F450" s="357">
        <f t="shared" ca="1" si="184"/>
        <v>12.568072679451566</v>
      </c>
      <c r="G450" s="359">
        <f t="shared" ca="1" si="185"/>
        <v>34.089219584186992</v>
      </c>
      <c r="H450" s="360">
        <f t="shared" ca="1" si="186"/>
        <v>92.717182849031772</v>
      </c>
      <c r="I450" s="357">
        <f t="shared" ca="1" si="187"/>
        <v>98.785377902398636</v>
      </c>
      <c r="J450" s="359">
        <f t="shared" ca="1" si="188"/>
        <v>275.33669307319695</v>
      </c>
      <c r="K450" s="360">
        <f t="shared" ca="1" si="189"/>
        <v>1029.6387117324891</v>
      </c>
      <c r="L450" s="357">
        <f t="shared" ca="1" si="174"/>
        <v>1065.8171378105269</v>
      </c>
      <c r="M450" s="359">
        <f t="shared" ca="1" si="190"/>
        <v>1.2184684096491092</v>
      </c>
      <c r="N450" s="357">
        <f t="shared" ca="1" si="191"/>
        <v>69.813097342911433</v>
      </c>
      <c r="O450" s="343"/>
      <c r="P450" s="363">
        <f t="shared" ca="1" si="192"/>
        <v>23</v>
      </c>
      <c r="Q450" s="357">
        <f t="shared" ca="1" si="193"/>
        <v>0</v>
      </c>
      <c r="R450" s="359">
        <f t="shared" ca="1" si="194"/>
        <v>0</v>
      </c>
      <c r="S450" s="360">
        <f t="shared" ca="1" si="195"/>
        <v>8.6519999999999992</v>
      </c>
      <c r="T450" s="357">
        <f t="shared" ca="1" si="175"/>
        <v>84.87612</v>
      </c>
      <c r="U450" s="364">
        <f t="shared" ca="1" si="176"/>
        <v>0</v>
      </c>
      <c r="V450" s="359">
        <f t="shared" ca="1" si="177"/>
        <v>1.1050447844908899</v>
      </c>
      <c r="W450" s="357">
        <f t="shared" ca="1" si="178"/>
        <v>24.408710034656174</v>
      </c>
      <c r="X450" s="343"/>
      <c r="Y450" s="367" t="str">
        <f t="shared" ca="1" si="196"/>
        <v/>
      </c>
      <c r="Z450" s="368" t="str">
        <f t="shared" ca="1" si="197"/>
        <v/>
      </c>
      <c r="AA450" s="369" t="str">
        <f t="shared" ca="1" si="198"/>
        <v/>
      </c>
      <c r="AB450" s="344"/>
      <c r="AC450" s="363" t="e">
        <f t="shared" ca="1" si="199"/>
        <v>#N/A</v>
      </c>
      <c r="AD450" s="376" t="e">
        <f t="shared" ca="1" si="200"/>
        <v>#N/A</v>
      </c>
      <c r="AE450" s="377">
        <f t="shared" ca="1" si="179"/>
        <v>1029.6387117324891</v>
      </c>
      <c r="AF450" s="344"/>
      <c r="AG450" s="359">
        <f t="shared" ca="1" si="201"/>
        <v>-12.112274853745342</v>
      </c>
      <c r="AH450" s="357">
        <f t="shared" ca="1" si="202"/>
        <v>-2.893443514758014</v>
      </c>
    </row>
    <row r="451" spans="1:34" x14ac:dyDescent="0.25">
      <c r="A451" s="402">
        <f t="shared" ca="1" si="180"/>
        <v>0.1</v>
      </c>
      <c r="B451" s="357">
        <f t="shared" ca="1" si="181"/>
        <v>8.6999999999999424</v>
      </c>
      <c r="C451" s="342"/>
      <c r="D451" s="359">
        <f t="shared" ca="1" si="182"/>
        <v>-0.97353755789862129</v>
      </c>
      <c r="E451" s="360">
        <f t="shared" ca="1" si="183"/>
        <v>-12.457865244998365</v>
      </c>
      <c r="F451" s="357">
        <f t="shared" ca="1" si="184"/>
        <v>12.495846583532362</v>
      </c>
      <c r="G451" s="359">
        <f t="shared" ca="1" si="185"/>
        <v>33.991865828397131</v>
      </c>
      <c r="H451" s="360">
        <f t="shared" ca="1" si="186"/>
        <v>91.471396324531938</v>
      </c>
      <c r="I451" s="357">
        <f t="shared" ca="1" si="187"/>
        <v>97.583109645344621</v>
      </c>
      <c r="J451" s="359">
        <f t="shared" ca="1" si="188"/>
        <v>278.74074734382617</v>
      </c>
      <c r="K451" s="360">
        <f t="shared" ca="1" si="189"/>
        <v>1038.8481406911674</v>
      </c>
      <c r="L451" s="357">
        <f t="shared" ca="1" si="174"/>
        <v>1075.5937261100448</v>
      </c>
      <c r="M451" s="359">
        <f t="shared" ca="1" si="190"/>
        <v>1.2149992872881479</v>
      </c>
      <c r="N451" s="357">
        <f t="shared" ca="1" si="191"/>
        <v>69.614331273013889</v>
      </c>
      <c r="O451" s="343"/>
      <c r="P451" s="363">
        <f t="shared" ca="1" si="192"/>
        <v>23</v>
      </c>
      <c r="Q451" s="357">
        <f t="shared" ca="1" si="193"/>
        <v>0</v>
      </c>
      <c r="R451" s="359">
        <f t="shared" ca="1" si="194"/>
        <v>0</v>
      </c>
      <c r="S451" s="360">
        <f t="shared" ca="1" si="195"/>
        <v>8.6519999999999992</v>
      </c>
      <c r="T451" s="357">
        <f t="shared" ca="1" si="175"/>
        <v>84.87612</v>
      </c>
      <c r="U451" s="364">
        <f t="shared" ca="1" si="176"/>
        <v>0</v>
      </c>
      <c r="V451" s="359">
        <f t="shared" ca="1" si="177"/>
        <v>1.1040248435811113</v>
      </c>
      <c r="W451" s="357">
        <f t="shared" ca="1" si="178"/>
        <v>23.79620881062624</v>
      </c>
      <c r="X451" s="343"/>
      <c r="Y451" s="367" t="str">
        <f t="shared" ca="1" si="196"/>
        <v/>
      </c>
      <c r="Z451" s="368" t="str">
        <f t="shared" ca="1" si="197"/>
        <v/>
      </c>
      <c r="AA451" s="369" t="str">
        <f t="shared" ca="1" si="198"/>
        <v/>
      </c>
      <c r="AB451" s="344"/>
      <c r="AC451" s="363" t="e">
        <f t="shared" ca="1" si="199"/>
        <v>#N/A</v>
      </c>
      <c r="AD451" s="376" t="e">
        <f t="shared" ca="1" si="200"/>
        <v>#N/A</v>
      </c>
      <c r="AE451" s="377">
        <f t="shared" ca="1" si="179"/>
        <v>1038.8481406911674</v>
      </c>
      <c r="AF451" s="344"/>
      <c r="AG451" s="359">
        <f t="shared" ca="1" si="201"/>
        <v>-12.028554535548508</v>
      </c>
      <c r="AH451" s="357">
        <f t="shared" ca="1" si="202"/>
        <v>-2.8211638967471306</v>
      </c>
    </row>
    <row r="452" spans="1:34" x14ac:dyDescent="0.25">
      <c r="A452" s="402">
        <f t="shared" ca="1" si="180"/>
        <v>0.1</v>
      </c>
      <c r="B452" s="357">
        <f t="shared" ca="1" si="181"/>
        <v>8.7999999999999421</v>
      </c>
      <c r="C452" s="342"/>
      <c r="D452" s="359">
        <f t="shared" ca="1" si="182"/>
        <v>-0.95805757883313469</v>
      </c>
      <c r="E452" s="360">
        <f t="shared" ca="1" si="183"/>
        <v>-12.388112803150577</v>
      </c>
      <c r="F452" s="357">
        <f t="shared" ca="1" si="184"/>
        <v>12.425104150386138</v>
      </c>
      <c r="G452" s="359">
        <f t="shared" ca="1" si="185"/>
        <v>33.896060070513819</v>
      </c>
      <c r="H452" s="360">
        <f t="shared" ca="1" si="186"/>
        <v>90.232585044216876</v>
      </c>
      <c r="I452" s="357">
        <f t="shared" ca="1" si="187"/>
        <v>96.389119158054939</v>
      </c>
      <c r="J452" s="359">
        <f t="shared" ca="1" si="188"/>
        <v>282.13514363877169</v>
      </c>
      <c r="K452" s="360">
        <f t="shared" ca="1" si="189"/>
        <v>1047.9333397596049</v>
      </c>
      <c r="L452" s="357">
        <f t="shared" ref="L452:L515" ca="1" si="203">SQRT(pos_x^2+pos_z^2)</f>
        <v>1085.2486000248007</v>
      </c>
      <c r="M452" s="359">
        <f t="shared" ca="1" si="190"/>
        <v>1.2114540749184997</v>
      </c>
      <c r="N452" s="357">
        <f t="shared" ca="1" si="191"/>
        <v>69.41120556675547</v>
      </c>
      <c r="O452" s="343"/>
      <c r="P452" s="363">
        <f t="shared" ca="1" si="192"/>
        <v>23</v>
      </c>
      <c r="Q452" s="357">
        <f t="shared" ca="1" si="193"/>
        <v>0</v>
      </c>
      <c r="R452" s="359">
        <f t="shared" ca="1" si="194"/>
        <v>0</v>
      </c>
      <c r="S452" s="360">
        <f t="shared" ca="1" si="195"/>
        <v>8.6519999999999992</v>
      </c>
      <c r="T452" s="357">
        <f t="shared" ref="T452:T515" ca="1" si="204">m*g</f>
        <v>84.87612</v>
      </c>
      <c r="U452" s="364">
        <f t="shared" ref="U452:U515" ca="1" si="205">IF(pos_xz&lt;L_rampe,Poids*COS(Beta),0)</f>
        <v>0</v>
      </c>
      <c r="V452" s="359">
        <f t="shared" ref="V452:V515" ca="1" si="206">Rho_moyen*(20000-Alt_rampe-pos_z)/(20000+Alt_rampe+pos_z)</f>
        <v>1.1030195356490826</v>
      </c>
      <c r="W452" s="357">
        <f t="shared" ref="W452:W515" ca="1" si="207">1/2*Rho*Sref*Cx*vit_xz^2</f>
        <v>23.196306856622751</v>
      </c>
      <c r="X452" s="343"/>
      <c r="Y452" s="367" t="str">
        <f t="shared" ca="1" si="196"/>
        <v/>
      </c>
      <c r="Z452" s="368" t="str">
        <f t="shared" ca="1" si="197"/>
        <v/>
      </c>
      <c r="AA452" s="369" t="str">
        <f t="shared" ca="1" si="198"/>
        <v/>
      </c>
      <c r="AB452" s="344"/>
      <c r="AC452" s="363" t="e">
        <f t="shared" ca="1" si="199"/>
        <v>#N/A</v>
      </c>
      <c r="AD452" s="376" t="e">
        <f t="shared" ca="1" si="200"/>
        <v>#N/A</v>
      </c>
      <c r="AE452" s="377">
        <f t="shared" ref="AE452:AE515" ca="1" si="208">IF(t&lt;T_para, pos_z, NA())</f>
        <v>1047.9333397596049</v>
      </c>
      <c r="AF452" s="344"/>
      <c r="AG452" s="359">
        <f t="shared" ca="1" si="201"/>
        <v>-11.945962214590923</v>
      </c>
      <c r="AH452" s="357">
        <f t="shared" ca="1" si="202"/>
        <v>-2.7503708750145912</v>
      </c>
    </row>
    <row r="453" spans="1:34" x14ac:dyDescent="0.25">
      <c r="A453" s="402">
        <f t="shared" ref="A453:A516" ca="1" si="209">IF(B452+0.01&lt;=T_ini+ROUNDUP(Temps_fin_propu,0), 0.01, IF(K452&gt;0, 0.1, 0.0001))</f>
        <v>0.1</v>
      </c>
      <c r="B453" s="357">
        <f t="shared" ref="B453:B516" ca="1" si="210">B452+pas</f>
        <v>8.8999999999999417</v>
      </c>
      <c r="C453" s="342"/>
      <c r="D453" s="359">
        <f t="shared" ref="D453:D516" ca="1" si="211">IF(AND(L452&lt;L_rampe,Poussee&lt;Poids*SIN(M452)),0,(-W452+Poussee)/m*COS(M452)-U452/m*SIN(M452))</f>
        <v>-0.94280861788871917</v>
      </c>
      <c r="E453" s="360">
        <f t="shared" ref="E453:E516" ca="1" si="212">IF(AND(L452&lt;L_rampe,Poussee&lt;Poids*SIN(M452)),0,(-W452+Poussee)/m*SIN(M452)+U452/m*COS(M452)-Poids/m)</f>
        <v>-12.319791952725167</v>
      </c>
      <c r="F453" s="357">
        <f t="shared" ref="F453:F516" ca="1" si="213">SQRT(acc_x^2+acc_z^2)</f>
        <v>12.355814900215892</v>
      </c>
      <c r="G453" s="359">
        <f t="shared" ref="G453:G516" ca="1" si="214">G452+acc_x*pas</f>
        <v>33.801779208724945</v>
      </c>
      <c r="H453" s="360">
        <f t="shared" ref="H453:H516" ca="1" si="215">H452+acc_z*pas</f>
        <v>89.00060584894436</v>
      </c>
      <c r="I453" s="357">
        <f t="shared" ref="I453:I516" ca="1" si="216">SQRT(vit_x^2+vit_z^2)</f>
        <v>95.203298887982555</v>
      </c>
      <c r="J453" s="359">
        <f t="shared" ref="J453:J516" ca="1" si="217">J452+0.5*(vit_x+G452)*pas*(K452&gt;=0)</f>
        <v>285.52003560273363</v>
      </c>
      <c r="K453" s="360">
        <f t="shared" ref="K453:K516" ca="1" si="218">K452+0.5*(vit_z+H452)*pas</f>
        <v>1056.8949993042629</v>
      </c>
      <c r="L453" s="357">
        <f t="shared" ca="1" si="203"/>
        <v>1094.7825036439631</v>
      </c>
      <c r="M453" s="359">
        <f t="shared" ref="M453:M516" ca="1" si="219">IF(AND(L452&gt;L_rampe,G453&gt;0),ATAN2(G453,H453),$M$4)</f>
        <v>1.2078304839417764</v>
      </c>
      <c r="N453" s="357">
        <f t="shared" ref="N453:N516" ca="1" si="220">DEGREES(Beta)</f>
        <v>69.203589097107539</v>
      </c>
      <c r="O453" s="343"/>
      <c r="P453" s="363">
        <f t="shared" ref="P453:P516" ca="1" si="221">MATCH(t-pas/2-T_ini,CdP_t)</f>
        <v>23</v>
      </c>
      <c r="Q453" s="357">
        <f t="shared" ref="Q453:Q516" ca="1" si="222">(INDEX(CdP,2,i_P+1)-INDEX(CdP,2,i_P+0))/(INDEX(CdP,1,i_P+1)-INDEX(CdP,1,i_P+0))*(t-pas/2-T_ini-INDEX(CdP,1,i_P+0))+INDEX(CdP,2,i_P+0)</f>
        <v>0</v>
      </c>
      <c r="R453" s="359">
        <f t="shared" ref="R453:R516" ca="1" si="223">Poussee/(g*ISP)</f>
        <v>0</v>
      </c>
      <c r="S453" s="360">
        <f t="shared" ref="S453:S516" ca="1" si="224">S452-Débit*pas</f>
        <v>8.6519999999999992</v>
      </c>
      <c r="T453" s="357">
        <f t="shared" ca="1" si="204"/>
        <v>84.87612</v>
      </c>
      <c r="U453" s="364">
        <f t="shared" ca="1" si="205"/>
        <v>0</v>
      </c>
      <c r="V453" s="359">
        <f t="shared" ca="1" si="206"/>
        <v>1.1020287476676407</v>
      </c>
      <c r="W453" s="357">
        <f t="shared" ca="1" si="207"/>
        <v>22.608749206163086</v>
      </c>
      <c r="X453" s="343"/>
      <c r="Y453" s="367" t="str">
        <f t="shared" ref="Y453:Y516" ca="1" si="225">IF(AND(pos_z&lt;=0,K452&gt;0),"Impact balistique","") &amp; IF(AND(H454&lt;0,vit_z&gt;=0),"Apogée","") &amp; IF(AND(Poussee=0,Q452&gt;0),"Fin de propulsion","") &amp; IF(AND(L454&gt;L_rampe,pos_xz&lt;=L_rampe),"Sortie de rampe","")</f>
        <v/>
      </c>
      <c r="Z453" s="368" t="str">
        <f t="shared" ref="Z453:Z516" ca="1" si="226">IF(ABS(t-T_para)&lt;pas/2,"Para","")</f>
        <v/>
      </c>
      <c r="AA453" s="369" t="str">
        <f t="shared" ref="AA453:AA516" ca="1" si="227">IF(ABS(t-T_satellite)&lt;pas/2,"Satellite","")</f>
        <v/>
      </c>
      <c r="AB453" s="344"/>
      <c r="AC453" s="363" t="e">
        <f t="shared" ref="AC453:AC516" ca="1" si="228">IF(ABS(t-ROUND(t,0))&lt;0.001,t,NA())</f>
        <v>#N/A</v>
      </c>
      <c r="AD453" s="376" t="e">
        <f t="shared" ref="AD453:AD516" ca="1" si="229">IF(ABS(t-ROUND(t,0))&lt;0.001,pos_x,NA())</f>
        <v>#N/A</v>
      </c>
      <c r="AE453" s="377">
        <f t="shared" ca="1" si="208"/>
        <v>1056.8949993042629</v>
      </c>
      <c r="AF453" s="344"/>
      <c r="AG453" s="359">
        <f t="shared" ref="AG453:AG516" ca="1" si="230">IF(AND(L452&lt;L_rampe,Poussee&lt;Poids*SIN(M452)),0,(-W452+Poussee)/m-Poids*SIN(M452)/m)</f>
        <v>-11.864452986369251</v>
      </c>
      <c r="AH453" s="357">
        <f t="shared" ref="AH453:AH516" ca="1" si="231">IF(AND(L452&lt;L_rampe,Poussee&lt;Poids*SIN(M452)), g*SIN(M452), (-W452+Poussee)/m)</f>
        <v>-2.6810340795911642</v>
      </c>
    </row>
    <row r="454" spans="1:34" x14ac:dyDescent="0.25">
      <c r="A454" s="402">
        <f t="shared" ca="1" si="209"/>
        <v>0.1</v>
      </c>
      <c r="B454" s="357">
        <f t="shared" ca="1" si="210"/>
        <v>8.9999999999999414</v>
      </c>
      <c r="C454" s="342"/>
      <c r="D454" s="359">
        <f t="shared" ca="1" si="211"/>
        <v>-0.92778551714080759</v>
      </c>
      <c r="E454" s="360">
        <f t="shared" ca="1" si="212"/>
        <v>-12.252873572231787</v>
      </c>
      <c r="F454" s="357">
        <f t="shared" ca="1" si="213"/>
        <v>12.287949248874376</v>
      </c>
      <c r="G454" s="359">
        <f t="shared" ca="1" si="214"/>
        <v>33.709000657010861</v>
      </c>
      <c r="H454" s="360">
        <f t="shared" ca="1" si="215"/>
        <v>87.77531849172118</v>
      </c>
      <c r="I454" s="357">
        <f t="shared" ca="1" si="216"/>
        <v>94.02554579271235</v>
      </c>
      <c r="J454" s="359">
        <f t="shared" ca="1" si="217"/>
        <v>288.89557459602042</v>
      </c>
      <c r="K454" s="360">
        <f t="shared" ca="1" si="218"/>
        <v>1065.7337955212961</v>
      </c>
      <c r="L454" s="357">
        <f t="shared" ca="1" si="203"/>
        <v>1104.1961673259841</v>
      </c>
      <c r="M454" s="359">
        <f t="shared" ca="1" si="219"/>
        <v>1.2041261366097606</v>
      </c>
      <c r="N454" s="357">
        <f t="shared" ca="1" si="220"/>
        <v>68.991345629132496</v>
      </c>
      <c r="O454" s="343"/>
      <c r="P454" s="363">
        <f t="shared" ca="1" si="221"/>
        <v>23</v>
      </c>
      <c r="Q454" s="357">
        <f t="shared" ca="1" si="222"/>
        <v>0</v>
      </c>
      <c r="R454" s="359">
        <f t="shared" ca="1" si="223"/>
        <v>0</v>
      </c>
      <c r="S454" s="360">
        <f t="shared" ca="1" si="224"/>
        <v>8.6519999999999992</v>
      </c>
      <c r="T454" s="357">
        <f t="shared" ca="1" si="204"/>
        <v>84.87612</v>
      </c>
      <c r="U454" s="364">
        <f t="shared" ca="1" si="205"/>
        <v>0</v>
      </c>
      <c r="V454" s="359">
        <f t="shared" ca="1" si="206"/>
        <v>1.1010523690096994</v>
      </c>
      <c r="W454" s="357">
        <f t="shared" ca="1" si="207"/>
        <v>22.03328842907441</v>
      </c>
      <c r="X454" s="343"/>
      <c r="Y454" s="367" t="str">
        <f t="shared" ca="1" si="225"/>
        <v/>
      </c>
      <c r="Z454" s="368" t="str">
        <f t="shared" ca="1" si="226"/>
        <v/>
      </c>
      <c r="AA454" s="369" t="str">
        <f t="shared" ca="1" si="227"/>
        <v/>
      </c>
      <c r="AB454" s="344"/>
      <c r="AC454" s="363">
        <f t="shared" ca="1" si="228"/>
        <v>8.9999999999999414</v>
      </c>
      <c r="AD454" s="376">
        <f t="shared" ca="1" si="229"/>
        <v>288.89557459602042</v>
      </c>
      <c r="AE454" s="377">
        <f t="shared" ca="1" si="208"/>
        <v>1065.7337955212961</v>
      </c>
      <c r="AF454" s="344"/>
      <c r="AG454" s="359">
        <f t="shared" ca="1" si="230"/>
        <v>-11.783982126949256</v>
      </c>
      <c r="AH454" s="357">
        <f t="shared" ca="1" si="231"/>
        <v>-2.6131240413965657</v>
      </c>
    </row>
    <row r="455" spans="1:34" x14ac:dyDescent="0.25">
      <c r="A455" s="402">
        <f t="shared" ca="1" si="209"/>
        <v>0.1</v>
      </c>
      <c r="B455" s="357">
        <f t="shared" ca="1" si="210"/>
        <v>9.099999999999941</v>
      </c>
      <c r="C455" s="342"/>
      <c r="D455" s="359">
        <f t="shared" ca="1" si="211"/>
        <v>-0.91298327844544669</v>
      </c>
      <c r="E455" s="360">
        <f t="shared" ca="1" si="212"/>
        <v>-12.18732939218706</v>
      </c>
      <c r="F455" s="357">
        <f t="shared" ca="1" si="213"/>
        <v>12.221478477679678</v>
      </c>
      <c r="G455" s="359">
        <f t="shared" ca="1" si="214"/>
        <v>33.617702329166313</v>
      </c>
      <c r="H455" s="360">
        <f t="shared" ca="1" si="215"/>
        <v>86.556585552502469</v>
      </c>
      <c r="I455" s="357">
        <f t="shared" ca="1" si="216"/>
        <v>92.855761331217963</v>
      </c>
      <c r="J455" s="359">
        <f t="shared" ca="1" si="217"/>
        <v>292.26190974532926</v>
      </c>
      <c r="K455" s="360">
        <f t="shared" ca="1" si="218"/>
        <v>1074.4503907235073</v>
      </c>
      <c r="L455" s="357">
        <f t="shared" ca="1" si="203"/>
        <v>1113.4903080017737</v>
      </c>
      <c r="M455" s="359">
        <f t="shared" ca="1" si="219"/>
        <v>1.2003385619258116</v>
      </c>
      <c r="N455" s="357">
        <f t="shared" ca="1" si="220"/>
        <v>68.774333585151609</v>
      </c>
      <c r="O455" s="343"/>
      <c r="P455" s="363">
        <f t="shared" ca="1" si="221"/>
        <v>23</v>
      </c>
      <c r="Q455" s="357">
        <f t="shared" ca="1" si="222"/>
        <v>0</v>
      </c>
      <c r="R455" s="359">
        <f t="shared" ca="1" si="223"/>
        <v>0</v>
      </c>
      <c r="S455" s="360">
        <f t="shared" ca="1" si="224"/>
        <v>8.6519999999999992</v>
      </c>
      <c r="T455" s="357">
        <f t="shared" ca="1" si="204"/>
        <v>84.87612</v>
      </c>
      <c r="U455" s="364">
        <f t="shared" ca="1" si="205"/>
        <v>0</v>
      </c>
      <c r="V455" s="359">
        <f t="shared" ca="1" si="206"/>
        <v>1.1000902913970503</v>
      </c>
      <c r="W455" s="357">
        <f t="shared" ca="1" si="207"/>
        <v>21.469684383632298</v>
      </c>
      <c r="X455" s="343"/>
      <c r="Y455" s="367" t="str">
        <f t="shared" ca="1" si="225"/>
        <v/>
      </c>
      <c r="Z455" s="368" t="str">
        <f t="shared" ca="1" si="226"/>
        <v/>
      </c>
      <c r="AA455" s="369" t="str">
        <f t="shared" ca="1" si="227"/>
        <v/>
      </c>
      <c r="AB455" s="344"/>
      <c r="AC455" s="363" t="e">
        <f t="shared" ca="1" si="228"/>
        <v>#N/A</v>
      </c>
      <c r="AD455" s="376" t="e">
        <f t="shared" ca="1" si="229"/>
        <v>#N/A</v>
      </c>
      <c r="AE455" s="377">
        <f t="shared" ca="1" si="208"/>
        <v>1074.4503907235073</v>
      </c>
      <c r="AF455" s="344"/>
      <c r="AG455" s="359">
        <f t="shared" ca="1" si="230"/>
        <v>-11.704505021666034</v>
      </c>
      <c r="AH455" s="357">
        <f t="shared" ca="1" si="231"/>
        <v>-2.5466121623987994</v>
      </c>
    </row>
    <row r="456" spans="1:34" x14ac:dyDescent="0.25">
      <c r="A456" s="402">
        <f t="shared" ca="1" si="209"/>
        <v>0.1</v>
      </c>
      <c r="B456" s="357">
        <f t="shared" ca="1" si="210"/>
        <v>9.1999999999999407</v>
      </c>
      <c r="C456" s="342"/>
      <c r="D456" s="359">
        <f t="shared" ca="1" si="211"/>
        <v>-0.89839705901951716</v>
      </c>
      <c r="E456" s="360">
        <f t="shared" ca="1" si="212"/>
        <v>-12.123131966537581</v>
      </c>
      <c r="F456" s="357">
        <f t="shared" ca="1" si="213"/>
        <v>12.156374704398523</v>
      </c>
      <c r="G456" s="359">
        <f t="shared" ca="1" si="214"/>
        <v>33.527862623264362</v>
      </c>
      <c r="H456" s="360">
        <f t="shared" ca="1" si="215"/>
        <v>85.344272355848716</v>
      </c>
      <c r="I456" s="357">
        <f t="shared" ca="1" si="216"/>
        <v>91.693851462536841</v>
      </c>
      <c r="J456" s="359">
        <f t="shared" ca="1" si="217"/>
        <v>295.6191879929508</v>
      </c>
      <c r="K456" s="360">
        <f t="shared" ca="1" si="218"/>
        <v>1083.0454336189248</v>
      </c>
      <c r="L456" s="357">
        <f t="shared" ca="1" si="203"/>
        <v>1122.6656294696193</v>
      </c>
      <c r="M456" s="359">
        <f t="shared" ca="1" si="219"/>
        <v>1.1964651913371038</v>
      </c>
      <c r="N456" s="357">
        <f t="shared" ca="1" si="220"/>
        <v>68.552405797928557</v>
      </c>
      <c r="O456" s="343"/>
      <c r="P456" s="363">
        <f t="shared" ca="1" si="221"/>
        <v>23</v>
      </c>
      <c r="Q456" s="357">
        <f t="shared" ca="1" si="222"/>
        <v>0</v>
      </c>
      <c r="R456" s="359">
        <f t="shared" ca="1" si="223"/>
        <v>0</v>
      </c>
      <c r="S456" s="360">
        <f t="shared" ca="1" si="224"/>
        <v>8.6519999999999992</v>
      </c>
      <c r="T456" s="357">
        <f t="shared" ca="1" si="204"/>
        <v>84.87612</v>
      </c>
      <c r="U456" s="364">
        <f t="shared" ca="1" si="205"/>
        <v>0</v>
      </c>
      <c r="V456" s="359">
        <f t="shared" ca="1" si="206"/>
        <v>1.0991424088507076</v>
      </c>
      <c r="W456" s="357">
        <f t="shared" ca="1" si="207"/>
        <v>20.917703978555487</v>
      </c>
      <c r="X456" s="343"/>
      <c r="Y456" s="367" t="str">
        <f t="shared" ca="1" si="225"/>
        <v/>
      </c>
      <c r="Z456" s="368" t="str">
        <f t="shared" ca="1" si="226"/>
        <v/>
      </c>
      <c r="AA456" s="369" t="str">
        <f t="shared" ca="1" si="227"/>
        <v/>
      </c>
      <c r="AB456" s="344"/>
      <c r="AC456" s="363" t="e">
        <f t="shared" ca="1" si="228"/>
        <v>#N/A</v>
      </c>
      <c r="AD456" s="376" t="e">
        <f t="shared" ca="1" si="229"/>
        <v>#N/A</v>
      </c>
      <c r="AE456" s="377">
        <f t="shared" ca="1" si="208"/>
        <v>1083.0454336189248</v>
      </c>
      <c r="AF456" s="344"/>
      <c r="AG456" s="359">
        <f t="shared" ca="1" si="230"/>
        <v>-11.625977092349409</v>
      </c>
      <c r="AH456" s="357">
        <f t="shared" ca="1" si="231"/>
        <v>-2.4814706869662855</v>
      </c>
    </row>
    <row r="457" spans="1:34" x14ac:dyDescent="0.25">
      <c r="A457" s="402">
        <f t="shared" ca="1" si="209"/>
        <v>0.1</v>
      </c>
      <c r="B457" s="357">
        <f t="shared" ca="1" si="210"/>
        <v>9.2999999999999403</v>
      </c>
      <c r="C457" s="342"/>
      <c r="D457" s="359">
        <f t="shared" ca="1" si="211"/>
        <v>-0.88402216725570149</v>
      </c>
      <c r="E457" s="360">
        <f t="shared" ca="1" si="212"/>
        <v>-12.060254645177636</v>
      </c>
      <c r="F457" s="357">
        <f t="shared" ca="1" si="213"/>
        <v>12.092610855341713</v>
      </c>
      <c r="G457" s="359">
        <f t="shared" ca="1" si="214"/>
        <v>33.439460406538792</v>
      </c>
      <c r="H457" s="360">
        <f t="shared" ca="1" si="215"/>
        <v>84.138246891330951</v>
      </c>
      <c r="I457" s="357">
        <f t="shared" ca="1" si="216"/>
        <v>90.539726652045061</v>
      </c>
      <c r="J457" s="359">
        <f t="shared" ca="1" si="217"/>
        <v>298.96755414444095</v>
      </c>
      <c r="K457" s="360">
        <f t="shared" ca="1" si="218"/>
        <v>1091.5195595812838</v>
      </c>
      <c r="L457" s="357">
        <f t="shared" ca="1" si="203"/>
        <v>1131.7228226821394</v>
      </c>
      <c r="M457" s="359">
        <f t="shared" ca="1" si="219"/>
        <v>1.1925033542068362</v>
      </c>
      <c r="N457" s="357">
        <f t="shared" ca="1" si="220"/>
        <v>68.325409251246001</v>
      </c>
      <c r="O457" s="343"/>
      <c r="P457" s="363">
        <f t="shared" ca="1" si="221"/>
        <v>23</v>
      </c>
      <c r="Q457" s="357">
        <f t="shared" ca="1" si="222"/>
        <v>0</v>
      </c>
      <c r="R457" s="359">
        <f t="shared" ca="1" si="223"/>
        <v>0</v>
      </c>
      <c r="S457" s="360">
        <f t="shared" ca="1" si="224"/>
        <v>8.6519999999999992</v>
      </c>
      <c r="T457" s="357">
        <f t="shared" ca="1" si="204"/>
        <v>84.87612</v>
      </c>
      <c r="U457" s="364">
        <f t="shared" ca="1" si="205"/>
        <v>0</v>
      </c>
      <c r="V457" s="359">
        <f t="shared" ca="1" si="206"/>
        <v>1.0982086176427568</v>
      </c>
      <c r="W457" s="357">
        <f t="shared" ca="1" si="207"/>
        <v>20.377120944417022</v>
      </c>
      <c r="X457" s="343"/>
      <c r="Y457" s="367" t="str">
        <f t="shared" ca="1" si="225"/>
        <v/>
      </c>
      <c r="Z457" s="368" t="str">
        <f t="shared" ca="1" si="226"/>
        <v/>
      </c>
      <c r="AA457" s="369" t="str">
        <f t="shared" ca="1" si="227"/>
        <v/>
      </c>
      <c r="AB457" s="344"/>
      <c r="AC457" s="363" t="e">
        <f t="shared" ca="1" si="228"/>
        <v>#N/A</v>
      </c>
      <c r="AD457" s="376" t="e">
        <f t="shared" ca="1" si="229"/>
        <v>#N/A</v>
      </c>
      <c r="AE457" s="377">
        <f t="shared" ca="1" si="208"/>
        <v>1091.5195595812838</v>
      </c>
      <c r="AF457" s="344"/>
      <c r="AG457" s="359">
        <f t="shared" ca="1" si="230"/>
        <v>-11.548353722836444</v>
      </c>
      <c r="AH457" s="357">
        <f t="shared" ca="1" si="231"/>
        <v>-2.4176726743591641</v>
      </c>
    </row>
    <row r="458" spans="1:34" x14ac:dyDescent="0.25">
      <c r="A458" s="402">
        <f t="shared" ca="1" si="209"/>
        <v>0.1</v>
      </c>
      <c r="B458" s="357">
        <f t="shared" ca="1" si="210"/>
        <v>9.39999999999994</v>
      </c>
      <c r="C458" s="342"/>
      <c r="D458" s="359">
        <f t="shared" ca="1" si="211"/>
        <v>-0.86985405876575161</v>
      </c>
      <c r="E458" s="360">
        <f t="shared" ca="1" si="212"/>
        <v>-11.998671547509417</v>
      </c>
      <c r="F458" s="357">
        <f t="shared" ca="1" si="213"/>
        <v>12.030160638518643</v>
      </c>
      <c r="G458" s="359">
        <f t="shared" ca="1" si="214"/>
        <v>33.352475000662217</v>
      </c>
      <c r="H458" s="360">
        <f t="shared" ca="1" si="215"/>
        <v>82.938379736580004</v>
      </c>
      <c r="I458" s="357">
        <f t="shared" ca="1" si="216"/>
        <v>89.393301885538065</v>
      </c>
      <c r="J458" s="359">
        <f t="shared" ca="1" si="217"/>
        <v>302.30715091480101</v>
      </c>
      <c r="K458" s="360">
        <f t="shared" ca="1" si="218"/>
        <v>1099.8733909126793</v>
      </c>
      <c r="L458" s="357">
        <f t="shared" ca="1" si="203"/>
        <v>1140.6625660255445</v>
      </c>
      <c r="M458" s="359">
        <f t="shared" ca="1" si="219"/>
        <v>1.1884502730550754</v>
      </c>
      <c r="N458" s="357">
        <f t="shared" ca="1" si="220"/>
        <v>68.093184807226081</v>
      </c>
      <c r="O458" s="343"/>
      <c r="P458" s="363">
        <f t="shared" ca="1" si="221"/>
        <v>23</v>
      </c>
      <c r="Q458" s="357">
        <f t="shared" ca="1" si="222"/>
        <v>0</v>
      </c>
      <c r="R458" s="359">
        <f t="shared" ca="1" si="223"/>
        <v>0</v>
      </c>
      <c r="S458" s="360">
        <f t="shared" ca="1" si="224"/>
        <v>8.6519999999999992</v>
      </c>
      <c r="T458" s="357">
        <f t="shared" ca="1" si="204"/>
        <v>84.87612</v>
      </c>
      <c r="U458" s="364">
        <f t="shared" ca="1" si="205"/>
        <v>0</v>
      </c>
      <c r="V458" s="359">
        <f t="shared" ca="1" si="206"/>
        <v>1.0972888162496457</v>
      </c>
      <c r="W458" s="357">
        <f t="shared" ca="1" si="207"/>
        <v>19.847715614053644</v>
      </c>
      <c r="X458" s="343"/>
      <c r="Y458" s="367" t="str">
        <f t="shared" ca="1" si="225"/>
        <v/>
      </c>
      <c r="Z458" s="368" t="str">
        <f t="shared" ca="1" si="226"/>
        <v/>
      </c>
      <c r="AA458" s="369" t="str">
        <f t="shared" ca="1" si="227"/>
        <v/>
      </c>
      <c r="AB458" s="344"/>
      <c r="AC458" s="363" t="e">
        <f t="shared" ca="1" si="228"/>
        <v>#N/A</v>
      </c>
      <c r="AD458" s="376" t="e">
        <f t="shared" ca="1" si="229"/>
        <v>#N/A</v>
      </c>
      <c r="AE458" s="377">
        <f t="shared" ca="1" si="208"/>
        <v>1099.8733909126793</v>
      </c>
      <c r="AF458" s="344"/>
      <c r="AG458" s="359">
        <f t="shared" ca="1" si="230"/>
        <v>-11.471590182522821</v>
      </c>
      <c r="AH458" s="357">
        <f t="shared" ca="1" si="231"/>
        <v>-2.3551919723089485</v>
      </c>
    </row>
    <row r="459" spans="1:34" x14ac:dyDescent="0.25">
      <c r="A459" s="402">
        <f t="shared" ca="1" si="209"/>
        <v>0.1</v>
      </c>
      <c r="B459" s="357">
        <f t="shared" ca="1" si="210"/>
        <v>9.4999999999999396</v>
      </c>
      <c r="C459" s="342"/>
      <c r="D459" s="359">
        <f t="shared" ca="1" si="211"/>
        <v>-0.85588833264620667</v>
      </c>
      <c r="E459" s="360">
        <f t="shared" ca="1" si="212"/>
        <v>-11.93835753699568</v>
      </c>
      <c r="F459" s="357">
        <f t="shared" ca="1" si="213"/>
        <v>11.96899851780012</v>
      </c>
      <c r="G459" s="359">
        <f t="shared" ca="1" si="214"/>
        <v>33.266886167397594</v>
      </c>
      <c r="H459" s="360">
        <f t="shared" ca="1" si="215"/>
        <v>81.74454398288043</v>
      </c>
      <c r="I459" s="357">
        <f t="shared" ca="1" si="216"/>
        <v>88.25449669135088</v>
      </c>
      <c r="J459" s="359">
        <f t="shared" ca="1" si="217"/>
        <v>305.63811897320403</v>
      </c>
      <c r="K459" s="360">
        <f t="shared" ca="1" si="218"/>
        <v>1108.1075370986523</v>
      </c>
      <c r="L459" s="357">
        <f t="shared" ca="1" si="203"/>
        <v>1149.4855255914795</v>
      </c>
      <c r="M459" s="359">
        <f t="shared" ca="1" si="219"/>
        <v>1.1843030585564376</v>
      </c>
      <c r="N459" s="357">
        <f t="shared" ca="1" si="220"/>
        <v>67.855566919718669</v>
      </c>
      <c r="O459" s="343"/>
      <c r="P459" s="363">
        <f t="shared" ca="1" si="221"/>
        <v>23</v>
      </c>
      <c r="Q459" s="357">
        <f t="shared" ca="1" si="222"/>
        <v>0</v>
      </c>
      <c r="R459" s="359">
        <f t="shared" ca="1" si="223"/>
        <v>0</v>
      </c>
      <c r="S459" s="360">
        <f t="shared" ca="1" si="224"/>
        <v>8.6519999999999992</v>
      </c>
      <c r="T459" s="357">
        <f t="shared" ca="1" si="204"/>
        <v>84.87612</v>
      </c>
      <c r="U459" s="364">
        <f t="shared" ca="1" si="205"/>
        <v>0</v>
      </c>
      <c r="V459" s="359">
        <f t="shared" ca="1" si="206"/>
        <v>1.0963829053068745</v>
      </c>
      <c r="W459" s="357">
        <f t="shared" ca="1" si="207"/>
        <v>19.329274711576442</v>
      </c>
      <c r="X459" s="343"/>
      <c r="Y459" s="367" t="str">
        <f t="shared" ca="1" si="225"/>
        <v/>
      </c>
      <c r="Z459" s="368" t="str">
        <f t="shared" ca="1" si="226"/>
        <v/>
      </c>
      <c r="AA459" s="369" t="str">
        <f t="shared" ca="1" si="227"/>
        <v/>
      </c>
      <c r="AB459" s="344"/>
      <c r="AC459" s="363" t="e">
        <f t="shared" ca="1" si="228"/>
        <v>#N/A</v>
      </c>
      <c r="AD459" s="376" t="e">
        <f t="shared" ca="1" si="229"/>
        <v>#N/A</v>
      </c>
      <c r="AE459" s="377">
        <f t="shared" ca="1" si="208"/>
        <v>1108.1075370986523</v>
      </c>
      <c r="AF459" s="344"/>
      <c r="AG459" s="359">
        <f t="shared" ca="1" si="230"/>
        <v>-11.395641547693561</v>
      </c>
      <c r="AH459" s="357">
        <f t="shared" ca="1" si="231"/>
        <v>-2.2940031916381929</v>
      </c>
    </row>
    <row r="460" spans="1:34" x14ac:dyDescent="0.25">
      <c r="A460" s="402">
        <f t="shared" ca="1" si="209"/>
        <v>0.1</v>
      </c>
      <c r="B460" s="357">
        <f t="shared" ca="1" si="210"/>
        <v>9.5999999999999392</v>
      </c>
      <c r="C460" s="342"/>
      <c r="D460" s="359">
        <f t="shared" ca="1" si="211"/>
        <v>-0.84212072796132198</v>
      </c>
      <c r="E460" s="360">
        <f t="shared" ca="1" si="212"/>
        <v>-11.879288196657052</v>
      </c>
      <c r="F460" s="357">
        <f t="shared" ca="1" si="213"/>
        <v>11.909099688040977</v>
      </c>
      <c r="G460" s="359">
        <f t="shared" ca="1" si="214"/>
        <v>33.18267409460146</v>
      </c>
      <c r="H460" s="360">
        <f t="shared" ca="1" si="215"/>
        <v>80.55661516321473</v>
      </c>
      <c r="I460" s="357">
        <f t="shared" ca="1" si="216"/>
        <v>87.123235170778713</v>
      </c>
      <c r="J460" s="359">
        <f t="shared" ca="1" si="217"/>
        <v>308.96059698630398</v>
      </c>
      <c r="K460" s="360">
        <f t="shared" ca="1" si="218"/>
        <v>1116.2225950559571</v>
      </c>
      <c r="L460" s="357">
        <f t="shared" ca="1" si="203"/>
        <v>1158.1923554416981</v>
      </c>
      <c r="M460" s="359">
        <f t="shared" ca="1" si="219"/>
        <v>1.1800587042823489</v>
      </c>
      <c r="N460" s="357">
        <f t="shared" ca="1" si="220"/>
        <v>67.612383333055078</v>
      </c>
      <c r="O460" s="343"/>
      <c r="P460" s="363">
        <f t="shared" ca="1" si="221"/>
        <v>23</v>
      </c>
      <c r="Q460" s="357">
        <f t="shared" ca="1" si="222"/>
        <v>0</v>
      </c>
      <c r="R460" s="359">
        <f t="shared" ca="1" si="223"/>
        <v>0</v>
      </c>
      <c r="S460" s="360">
        <f t="shared" ca="1" si="224"/>
        <v>8.6519999999999992</v>
      </c>
      <c r="T460" s="357">
        <f t="shared" ca="1" si="204"/>
        <v>84.87612</v>
      </c>
      <c r="U460" s="364">
        <f t="shared" ca="1" si="205"/>
        <v>0</v>
      </c>
      <c r="V460" s="359">
        <f t="shared" ca="1" si="206"/>
        <v>1.0954907875650357</v>
      </c>
      <c r="W460" s="357">
        <f t="shared" ca="1" si="207"/>
        <v>18.821591149605364</v>
      </c>
      <c r="X460" s="343"/>
      <c r="Y460" s="367" t="str">
        <f t="shared" ca="1" si="225"/>
        <v/>
      </c>
      <c r="Z460" s="368" t="str">
        <f t="shared" ca="1" si="226"/>
        <v/>
      </c>
      <c r="AA460" s="369" t="str">
        <f t="shared" ca="1" si="227"/>
        <v/>
      </c>
      <c r="AB460" s="344"/>
      <c r="AC460" s="363" t="e">
        <f t="shared" ca="1" si="228"/>
        <v>#N/A</v>
      </c>
      <c r="AD460" s="376" t="e">
        <f t="shared" ca="1" si="229"/>
        <v>#N/A</v>
      </c>
      <c r="AE460" s="377">
        <f t="shared" ca="1" si="208"/>
        <v>1116.2225950559571</v>
      </c>
      <c r="AF460" s="344"/>
      <c r="AG460" s="359">
        <f t="shared" ca="1" si="230"/>
        <v>-11.320462620361329</v>
      </c>
      <c r="AH460" s="357">
        <f t="shared" ca="1" si="231"/>
        <v>-2.2340816818742999</v>
      </c>
    </row>
    <row r="461" spans="1:34" x14ac:dyDescent="0.25">
      <c r="A461" s="402">
        <f t="shared" ca="1" si="209"/>
        <v>0.1</v>
      </c>
      <c r="B461" s="357">
        <f t="shared" ca="1" si="210"/>
        <v>9.6999999999999389</v>
      </c>
      <c r="C461" s="342"/>
      <c r="D461" s="359">
        <f t="shared" ca="1" si="211"/>
        <v>-0.82854712043855283</v>
      </c>
      <c r="E461" s="360">
        <f t="shared" ca="1" si="212"/>
        <v>-11.821439805468152</v>
      </c>
      <c r="F461" s="357">
        <f t="shared" ca="1" si="213"/>
        <v>11.85044005111599</v>
      </c>
      <c r="G461" s="359">
        <f t="shared" ca="1" si="214"/>
        <v>33.099819382557605</v>
      </c>
      <c r="H461" s="360">
        <f t="shared" ca="1" si="215"/>
        <v>79.374471182667918</v>
      </c>
      <c r="I461" s="357">
        <f t="shared" ca="1" si="216"/>
        <v>85.999446037088617</v>
      </c>
      <c r="J461" s="359">
        <f t="shared" ca="1" si="217"/>
        <v>312.27472166016196</v>
      </c>
      <c r="K461" s="360">
        <f t="shared" ca="1" si="218"/>
        <v>1124.2191493732512</v>
      </c>
      <c r="L461" s="357">
        <f t="shared" ca="1" si="203"/>
        <v>1166.7836978658247</v>
      </c>
      <c r="M461" s="359">
        <f t="shared" ca="1" si="219"/>
        <v>1.1757140811751907</v>
      </c>
      <c r="N461" s="357">
        <f t="shared" ca="1" si="220"/>
        <v>67.363454765439897</v>
      </c>
      <c r="O461" s="343"/>
      <c r="P461" s="363">
        <f t="shared" ca="1" si="221"/>
        <v>23</v>
      </c>
      <c r="Q461" s="357">
        <f t="shared" ca="1" si="222"/>
        <v>0</v>
      </c>
      <c r="R461" s="359">
        <f t="shared" ca="1" si="223"/>
        <v>0</v>
      </c>
      <c r="S461" s="360">
        <f t="shared" ca="1" si="224"/>
        <v>8.6519999999999992</v>
      </c>
      <c r="T461" s="357">
        <f t="shared" ca="1" si="204"/>
        <v>84.87612</v>
      </c>
      <c r="U461" s="364">
        <f t="shared" ca="1" si="205"/>
        <v>0</v>
      </c>
      <c r="V461" s="359">
        <f t="shared" ca="1" si="206"/>
        <v>1.09461236784716</v>
      </c>
      <c r="W461" s="357">
        <f t="shared" ca="1" si="207"/>
        <v>18.324463834368892</v>
      </c>
      <c r="X461" s="343"/>
      <c r="Y461" s="367" t="str">
        <f t="shared" ca="1" si="225"/>
        <v/>
      </c>
      <c r="Z461" s="368" t="str">
        <f t="shared" ca="1" si="226"/>
        <v/>
      </c>
      <c r="AA461" s="369" t="str">
        <f t="shared" ca="1" si="227"/>
        <v/>
      </c>
      <c r="AB461" s="344"/>
      <c r="AC461" s="363" t="e">
        <f t="shared" ca="1" si="228"/>
        <v>#N/A</v>
      </c>
      <c r="AD461" s="376" t="e">
        <f t="shared" ca="1" si="229"/>
        <v>#N/A</v>
      </c>
      <c r="AE461" s="377">
        <f t="shared" ca="1" si="208"/>
        <v>1124.2191493732512</v>
      </c>
      <c r="AF461" s="344"/>
      <c r="AG461" s="359">
        <f t="shared" ca="1" si="230"/>
        <v>-11.246007844327178</v>
      </c>
      <c r="AH461" s="357">
        <f t="shared" ca="1" si="231"/>
        <v>-2.1754035078138427</v>
      </c>
    </row>
    <row r="462" spans="1:34" x14ac:dyDescent="0.25">
      <c r="A462" s="402">
        <f t="shared" ca="1" si="209"/>
        <v>0.1</v>
      </c>
      <c r="B462" s="357">
        <f t="shared" ca="1" si="210"/>
        <v>9.7999999999999385</v>
      </c>
      <c r="C462" s="342"/>
      <c r="D462" s="359">
        <f t="shared" ca="1" si="211"/>
        <v>-0.81516351937251152</v>
      </c>
      <c r="E462" s="360">
        <f t="shared" ca="1" si="212"/>
        <v>-11.764789315608526</v>
      </c>
      <c r="F462" s="357">
        <f t="shared" ca="1" si="213"/>
        <v>11.792996192824464</v>
      </c>
      <c r="G462" s="359">
        <f t="shared" ca="1" si="214"/>
        <v>33.018303030620352</v>
      </c>
      <c r="H462" s="360">
        <f t="shared" ca="1" si="215"/>
        <v>78.197992251107067</v>
      </c>
      <c r="I462" s="357">
        <f t="shared" ca="1" si="216"/>
        <v>84.883062663443482</v>
      </c>
      <c r="J462" s="359">
        <f t="shared" ca="1" si="217"/>
        <v>315.58062778082086</v>
      </c>
      <c r="K462" s="360">
        <f t="shared" ca="1" si="218"/>
        <v>1132.09777254494</v>
      </c>
      <c r="L462" s="357">
        <f t="shared" ca="1" si="203"/>
        <v>1175.2601836324379</v>
      </c>
      <c r="M462" s="359">
        <f t="shared" ca="1" si="219"/>
        <v>1.1712659317412015</v>
      </c>
      <c r="N462" s="357">
        <f t="shared" ca="1" si="220"/>
        <v>67.108594576228811</v>
      </c>
      <c r="O462" s="343"/>
      <c r="P462" s="363">
        <f t="shared" ca="1" si="221"/>
        <v>23</v>
      </c>
      <c r="Q462" s="357">
        <f t="shared" ca="1" si="222"/>
        <v>0</v>
      </c>
      <c r="R462" s="359">
        <f t="shared" ca="1" si="223"/>
        <v>0</v>
      </c>
      <c r="S462" s="360">
        <f t="shared" ca="1" si="224"/>
        <v>8.6519999999999992</v>
      </c>
      <c r="T462" s="357">
        <f t="shared" ca="1" si="204"/>
        <v>84.87612</v>
      </c>
      <c r="U462" s="364">
        <f t="shared" ca="1" si="205"/>
        <v>0</v>
      </c>
      <c r="V462" s="359">
        <f t="shared" ca="1" si="206"/>
        <v>1.0937475530073191</v>
      </c>
      <c r="W462" s="357">
        <f t="shared" ca="1" si="207"/>
        <v>17.837697478327655</v>
      </c>
      <c r="X462" s="343"/>
      <c r="Y462" s="367" t="str">
        <f t="shared" ca="1" si="225"/>
        <v/>
      </c>
      <c r="Z462" s="368" t="str">
        <f t="shared" ca="1" si="226"/>
        <v/>
      </c>
      <c r="AA462" s="369" t="str">
        <f t="shared" ca="1" si="227"/>
        <v/>
      </c>
      <c r="AB462" s="344"/>
      <c r="AC462" s="363" t="e">
        <f t="shared" ca="1" si="228"/>
        <v>#N/A</v>
      </c>
      <c r="AD462" s="376" t="e">
        <f t="shared" ca="1" si="229"/>
        <v>#N/A</v>
      </c>
      <c r="AE462" s="377">
        <f t="shared" ca="1" si="208"/>
        <v>1132.09777254494</v>
      </c>
      <c r="AF462" s="344"/>
      <c r="AG462" s="359">
        <f t="shared" ca="1" si="230"/>
        <v>-11.172231218164427</v>
      </c>
      <c r="AH462" s="357">
        <f t="shared" ca="1" si="231"/>
        <v>-2.1179454269959423</v>
      </c>
    </row>
    <row r="463" spans="1:34" x14ac:dyDescent="0.25">
      <c r="A463" s="402">
        <f t="shared" ca="1" si="209"/>
        <v>0.1</v>
      </c>
      <c r="B463" s="357">
        <f t="shared" ca="1" si="210"/>
        <v>9.8999999999999382</v>
      </c>
      <c r="C463" s="342"/>
      <c r="D463" s="359">
        <f t="shared" ca="1" si="211"/>
        <v>-0.8019660647339043</v>
      </c>
      <c r="E463" s="360">
        <f t="shared" ca="1" si="212"/>
        <v>-11.709314330526164</v>
      </c>
      <c r="F463" s="357">
        <f t="shared" ca="1" si="213"/>
        <v>11.736745360620644</v>
      </c>
      <c r="G463" s="359">
        <f t="shared" ca="1" si="214"/>
        <v>32.938106424146959</v>
      </c>
      <c r="H463" s="360">
        <f t="shared" ca="1" si="215"/>
        <v>77.027060818054451</v>
      </c>
      <c r="I463" s="357">
        <f t="shared" ca="1" si="216"/>
        <v>83.774023140092126</v>
      </c>
      <c r="J463" s="359">
        <f t="shared" ca="1" si="217"/>
        <v>318.87844825355921</v>
      </c>
      <c r="K463" s="360">
        <f t="shared" ca="1" si="218"/>
        <v>1139.8590251983981</v>
      </c>
      <c r="L463" s="357">
        <f t="shared" ca="1" si="203"/>
        <v>1183.6224322337087</v>
      </c>
      <c r="M463" s="359">
        <f t="shared" ca="1" si="219"/>
        <v>1.1667108639486312</v>
      </c>
      <c r="N463" s="357">
        <f t="shared" ca="1" si="220"/>
        <v>66.847608416318565</v>
      </c>
      <c r="O463" s="343"/>
      <c r="P463" s="363">
        <f t="shared" ca="1" si="221"/>
        <v>23</v>
      </c>
      <c r="Q463" s="357">
        <f t="shared" ca="1" si="222"/>
        <v>0</v>
      </c>
      <c r="R463" s="359">
        <f t="shared" ca="1" si="223"/>
        <v>0</v>
      </c>
      <c r="S463" s="360">
        <f t="shared" ca="1" si="224"/>
        <v>8.6519999999999992</v>
      </c>
      <c r="T463" s="357">
        <f t="shared" ca="1" si="204"/>
        <v>84.87612</v>
      </c>
      <c r="U463" s="364">
        <f t="shared" ca="1" si="205"/>
        <v>0</v>
      </c>
      <c r="V463" s="359">
        <f t="shared" ca="1" si="206"/>
        <v>1.0928962518904564</v>
      </c>
      <c r="W463" s="357">
        <f t="shared" ca="1" si="207"/>
        <v>17.361102419997717</v>
      </c>
      <c r="X463" s="343"/>
      <c r="Y463" s="367" t="str">
        <f t="shared" ca="1" si="225"/>
        <v/>
      </c>
      <c r="Z463" s="368" t="str">
        <f t="shared" ca="1" si="226"/>
        <v/>
      </c>
      <c r="AA463" s="369" t="str">
        <f t="shared" ca="1" si="227"/>
        <v/>
      </c>
      <c r="AB463" s="344"/>
      <c r="AC463" s="363" t="e">
        <f t="shared" ca="1" si="228"/>
        <v>#N/A</v>
      </c>
      <c r="AD463" s="376" t="e">
        <f t="shared" ca="1" si="229"/>
        <v>#N/A</v>
      </c>
      <c r="AE463" s="377">
        <f t="shared" ca="1" si="208"/>
        <v>1139.8590251983981</v>
      </c>
      <c r="AF463" s="344"/>
      <c r="AG463" s="359">
        <f t="shared" ca="1" si="230"/>
        <v>-11.099086204810845</v>
      </c>
      <c r="AH463" s="357">
        <f t="shared" ca="1" si="231"/>
        <v>-2.0616848680452677</v>
      </c>
    </row>
    <row r="464" spans="1:34" x14ac:dyDescent="0.25">
      <c r="A464" s="402">
        <f t="shared" ca="1" si="209"/>
        <v>0.1</v>
      </c>
      <c r="B464" s="357">
        <f t="shared" ca="1" si="210"/>
        <v>9.9999999999999378</v>
      </c>
      <c r="C464" s="342"/>
      <c r="D464" s="359">
        <f t="shared" ca="1" si="211"/>
        <v>-0.78895102448051191</v>
      </c>
      <c r="E464" s="360">
        <f t="shared" ca="1" si="212"/>
        <v>-11.654993083772897</v>
      </c>
      <c r="F464" s="357">
        <f t="shared" ca="1" si="213"/>
        <v>11.681665442128658</v>
      </c>
      <c r="G464" s="359">
        <f t="shared" ca="1" si="214"/>
        <v>32.859211321698908</v>
      </c>
      <c r="H464" s="360">
        <f t="shared" ca="1" si="215"/>
        <v>75.861561509677159</v>
      </c>
      <c r="I464" s="357">
        <f t="shared" ca="1" si="216"/>
        <v>82.672270341212936</v>
      </c>
      <c r="J464" s="359">
        <f t="shared" ca="1" si="217"/>
        <v>322.16831414085152</v>
      </c>
      <c r="K464" s="360">
        <f t="shared" ca="1" si="218"/>
        <v>1147.5034563147847</v>
      </c>
      <c r="L464" s="357">
        <f t="shared" ca="1" si="203"/>
        <v>1191.8710521238172</v>
      </c>
      <c r="M464" s="359">
        <f t="shared" ca="1" si="219"/>
        <v>1.1620453448172898</v>
      </c>
      <c r="N464" s="357">
        <f t="shared" ca="1" si="220"/>
        <v>66.580293860855164</v>
      </c>
      <c r="O464" s="343"/>
      <c r="P464" s="363">
        <f t="shared" ca="1" si="221"/>
        <v>23</v>
      </c>
      <c r="Q464" s="357">
        <f t="shared" ca="1" si="222"/>
        <v>0</v>
      </c>
      <c r="R464" s="359">
        <f t="shared" ca="1" si="223"/>
        <v>0</v>
      </c>
      <c r="S464" s="360">
        <f t="shared" ca="1" si="224"/>
        <v>8.6519999999999992</v>
      </c>
      <c r="T464" s="357">
        <f t="shared" ca="1" si="204"/>
        <v>84.87612</v>
      </c>
      <c r="U464" s="364">
        <f t="shared" ca="1" si="205"/>
        <v>0</v>
      </c>
      <c r="V464" s="359">
        <f t="shared" ca="1" si="206"/>
        <v>1.0920583752933859</v>
      </c>
      <c r="W464" s="357">
        <f t="shared" ca="1" si="207"/>
        <v>16.8944944506643</v>
      </c>
      <c r="X464" s="343"/>
      <c r="Y464" s="367" t="str">
        <f t="shared" ca="1" si="225"/>
        <v/>
      </c>
      <c r="Z464" s="368" t="str">
        <f t="shared" ca="1" si="226"/>
        <v/>
      </c>
      <c r="AA464" s="369" t="str">
        <f t="shared" ca="1" si="227"/>
        <v/>
      </c>
      <c r="AB464" s="344"/>
      <c r="AC464" s="363">
        <f t="shared" ca="1" si="228"/>
        <v>9.9999999999999378</v>
      </c>
      <c r="AD464" s="376">
        <f t="shared" ca="1" si="229"/>
        <v>322.16831414085152</v>
      </c>
      <c r="AE464" s="377">
        <f t="shared" ca="1" si="208"/>
        <v>1147.5034563147847</v>
      </c>
      <c r="AF464" s="344"/>
      <c r="AG464" s="359">
        <f t="shared" ca="1" si="230"/>
        <v>-11.026525637438095</v>
      </c>
      <c r="AH464" s="357">
        <f t="shared" ca="1" si="231"/>
        <v>-2.0065999098471705</v>
      </c>
    </row>
    <row r="465" spans="1:34" x14ac:dyDescent="0.25">
      <c r="A465" s="402">
        <f t="shared" ca="1" si="209"/>
        <v>0.1</v>
      </c>
      <c r="B465" s="357">
        <f t="shared" ca="1" si="210"/>
        <v>10.099999999999937</v>
      </c>
      <c r="C465" s="342"/>
      <c r="D465" s="359">
        <f t="shared" ca="1" si="211"/>
        <v>-0.77611479206782907</v>
      </c>
      <c r="E465" s="360">
        <f t="shared" ca="1" si="212"/>
        <v>-11.601804418572389</v>
      </c>
      <c r="F465" s="357">
        <f t="shared" ca="1" si="213"/>
        <v>11.627734944402212</v>
      </c>
      <c r="G465" s="359">
        <f t="shared" ca="1" si="214"/>
        <v>32.781599842492128</v>
      </c>
      <c r="H465" s="360">
        <f t="shared" ca="1" si="215"/>
        <v>74.701381067819923</v>
      </c>
      <c r="I465" s="357">
        <f t="shared" ca="1" si="216"/>
        <v>81.577752001835179</v>
      </c>
      <c r="J465" s="359">
        <f t="shared" ca="1" si="217"/>
        <v>325.45035469906105</v>
      </c>
      <c r="K465" s="360">
        <f t="shared" ca="1" si="218"/>
        <v>1155.0316034436596</v>
      </c>
      <c r="L465" s="357">
        <f t="shared" ca="1" si="203"/>
        <v>1200.006640951364</v>
      </c>
      <c r="M465" s="359">
        <f t="shared" ca="1" si="219"/>
        <v>1.1572656936853467</v>
      </c>
      <c r="N465" s="357">
        <f t="shared" ca="1" si="220"/>
        <v>66.306440023449895</v>
      </c>
      <c r="O465" s="343"/>
      <c r="P465" s="363">
        <f t="shared" ca="1" si="221"/>
        <v>23</v>
      </c>
      <c r="Q465" s="357">
        <f t="shared" ca="1" si="222"/>
        <v>0</v>
      </c>
      <c r="R465" s="359">
        <f t="shared" ca="1" si="223"/>
        <v>0</v>
      </c>
      <c r="S465" s="360">
        <f t="shared" ca="1" si="224"/>
        <v>8.6519999999999992</v>
      </c>
      <c r="T465" s="357">
        <f t="shared" ca="1" si="204"/>
        <v>84.87612</v>
      </c>
      <c r="U465" s="364">
        <f t="shared" ca="1" si="205"/>
        <v>0</v>
      </c>
      <c r="V465" s="359">
        <f t="shared" ca="1" si="206"/>
        <v>1.0912338359269425</v>
      </c>
      <c r="W465" s="357">
        <f t="shared" ca="1" si="207"/>
        <v>16.437694647692613</v>
      </c>
      <c r="X465" s="343"/>
      <c r="Y465" s="367" t="str">
        <f t="shared" ca="1" si="225"/>
        <v/>
      </c>
      <c r="Z465" s="368" t="str">
        <f t="shared" ca="1" si="226"/>
        <v/>
      </c>
      <c r="AA465" s="369" t="str">
        <f t="shared" ca="1" si="227"/>
        <v/>
      </c>
      <c r="AB465" s="344"/>
      <c r="AC465" s="363" t="e">
        <f t="shared" ca="1" si="228"/>
        <v>#N/A</v>
      </c>
      <c r="AD465" s="376" t="e">
        <f t="shared" ca="1" si="229"/>
        <v>#N/A</v>
      </c>
      <c r="AE465" s="377">
        <f t="shared" ca="1" si="208"/>
        <v>1155.0316034436596</v>
      </c>
      <c r="AF465" s="344"/>
      <c r="AG465" s="359">
        <f t="shared" ca="1" si="230"/>
        <v>-10.954501621249895</v>
      </c>
      <c r="AH465" s="357">
        <f t="shared" ca="1" si="231"/>
        <v>-1.9526692615192212</v>
      </c>
    </row>
    <row r="466" spans="1:34" x14ac:dyDescent="0.25">
      <c r="A466" s="402">
        <f t="shared" ca="1" si="209"/>
        <v>0.1</v>
      </c>
      <c r="B466" s="357">
        <f t="shared" ca="1" si="210"/>
        <v>10.199999999999937</v>
      </c>
      <c r="C466" s="342"/>
      <c r="D466" s="359">
        <f t="shared" ca="1" si="211"/>
        <v>-0.76345388415758331</v>
      </c>
      <c r="E466" s="360">
        <f t="shared" ca="1" si="212"/>
        <v>-11.549727768082819</v>
      </c>
      <c r="F466" s="357">
        <f t="shared" ca="1" si="213"/>
        <v>11.574932973890547</v>
      </c>
      <c r="G466" s="359">
        <f t="shared" ca="1" si="214"/>
        <v>32.705254454076368</v>
      </c>
      <c r="H466" s="360">
        <f t="shared" ca="1" si="215"/>
        <v>73.546408291011645</v>
      </c>
      <c r="I466" s="357">
        <f t="shared" ca="1" si="216"/>
        <v>80.49042080529874</v>
      </c>
      <c r="J466" s="359">
        <f t="shared" ca="1" si="217"/>
        <v>328.72469741388949</v>
      </c>
      <c r="K466" s="360">
        <f t="shared" ca="1" si="218"/>
        <v>1162.4439929116011</v>
      </c>
      <c r="L466" s="357">
        <f t="shared" ca="1" si="203"/>
        <v>1208.0297857859796</v>
      </c>
      <c r="M466" s="359">
        <f t="shared" ca="1" si="219"/>
        <v>1.1523680751390204</v>
      </c>
      <c r="N466" s="357">
        <f t="shared" ca="1" si="220"/>
        <v>66.025827151080392</v>
      </c>
      <c r="O466" s="343"/>
      <c r="P466" s="363">
        <f t="shared" ca="1" si="221"/>
        <v>23</v>
      </c>
      <c r="Q466" s="357">
        <f t="shared" ca="1" si="222"/>
        <v>0</v>
      </c>
      <c r="R466" s="359">
        <f t="shared" ca="1" si="223"/>
        <v>0</v>
      </c>
      <c r="S466" s="360">
        <f t="shared" ca="1" si="224"/>
        <v>8.6519999999999992</v>
      </c>
      <c r="T466" s="357">
        <f t="shared" ca="1" si="204"/>
        <v>84.87612</v>
      </c>
      <c r="U466" s="364">
        <f t="shared" ca="1" si="205"/>
        <v>0</v>
      </c>
      <c r="V466" s="359">
        <f t="shared" ca="1" si="206"/>
        <v>1.0904225483792249</v>
      </c>
      <c r="W466" s="357">
        <f t="shared" ca="1" si="207"/>
        <v>15.990529214155323</v>
      </c>
      <c r="X466" s="343"/>
      <c r="Y466" s="367" t="str">
        <f t="shared" ca="1" si="225"/>
        <v/>
      </c>
      <c r="Z466" s="368" t="str">
        <f t="shared" ca="1" si="226"/>
        <v/>
      </c>
      <c r="AA466" s="369" t="str">
        <f t="shared" ca="1" si="227"/>
        <v/>
      </c>
      <c r="AB466" s="344"/>
      <c r="AC466" s="363" t="e">
        <f t="shared" ca="1" si="228"/>
        <v>#N/A</v>
      </c>
      <c r="AD466" s="376" t="e">
        <f t="shared" ca="1" si="229"/>
        <v>#N/A</v>
      </c>
      <c r="AE466" s="377">
        <f t="shared" ca="1" si="208"/>
        <v>1162.4439929116011</v>
      </c>
      <c r="AF466" s="344"/>
      <c r="AG466" s="359">
        <f t="shared" ca="1" si="230"/>
        <v>-10.882965430842148</v>
      </c>
      <c r="AH466" s="357">
        <f t="shared" ca="1" si="231"/>
        <v>-1.8998722431452397</v>
      </c>
    </row>
    <row r="467" spans="1:34" x14ac:dyDescent="0.25">
      <c r="A467" s="402">
        <f t="shared" ca="1" si="209"/>
        <v>0.1</v>
      </c>
      <c r="B467" s="357">
        <f t="shared" ca="1" si="210"/>
        <v>10.299999999999937</v>
      </c>
      <c r="C467" s="342"/>
      <c r="D467" s="359">
        <f t="shared" ca="1" si="211"/>
        <v>-0.75096493852286161</v>
      </c>
      <c r="E467" s="360">
        <f t="shared" ca="1" si="212"/>
        <v>-11.49874313631744</v>
      </c>
      <c r="F467" s="357">
        <f t="shared" ca="1" si="213"/>
        <v>11.523239217073387</v>
      </c>
      <c r="G467" s="359">
        <f t="shared" ca="1" si="214"/>
        <v>32.630157960224082</v>
      </c>
      <c r="H467" s="360">
        <f t="shared" ca="1" si="215"/>
        <v>72.396533977379903</v>
      </c>
      <c r="I467" s="357">
        <f t="shared" ca="1" si="216"/>
        <v>79.410234481753662</v>
      </c>
      <c r="J467" s="359">
        <f t="shared" ca="1" si="217"/>
        <v>331.99146803460451</v>
      </c>
      <c r="K467" s="360">
        <f t="shared" ca="1" si="218"/>
        <v>1169.7411400250207</v>
      </c>
      <c r="L467" s="357">
        <f t="shared" ca="1" si="203"/>
        <v>1215.9410633393409</v>
      </c>
      <c r="M467" s="359">
        <f t="shared" ca="1" si="219"/>
        <v>1.1473484915906813</v>
      </c>
      <c r="N467" s="357">
        <f t="shared" ca="1" si="220"/>
        <v>65.738226198847258</v>
      </c>
      <c r="O467" s="343"/>
      <c r="P467" s="363">
        <f t="shared" ca="1" si="221"/>
        <v>23</v>
      </c>
      <c r="Q467" s="357">
        <f t="shared" ca="1" si="222"/>
        <v>0</v>
      </c>
      <c r="R467" s="359">
        <f t="shared" ca="1" si="223"/>
        <v>0</v>
      </c>
      <c r="S467" s="360">
        <f t="shared" ca="1" si="224"/>
        <v>8.6519999999999992</v>
      </c>
      <c r="T467" s="357">
        <f t="shared" ca="1" si="204"/>
        <v>84.87612</v>
      </c>
      <c r="U467" s="364">
        <f t="shared" ca="1" si="205"/>
        <v>0</v>
      </c>
      <c r="V467" s="359">
        <f t="shared" ca="1" si="206"/>
        <v>1.0896244290799151</v>
      </c>
      <c r="W467" s="357">
        <f t="shared" ca="1" si="207"/>
        <v>15.552829324510601</v>
      </c>
      <c r="X467" s="343"/>
      <c r="Y467" s="367" t="str">
        <f t="shared" ca="1" si="225"/>
        <v/>
      </c>
      <c r="Z467" s="368" t="str">
        <f t="shared" ca="1" si="226"/>
        <v/>
      </c>
      <c r="AA467" s="369" t="str">
        <f t="shared" ca="1" si="227"/>
        <v/>
      </c>
      <c r="AB467" s="344"/>
      <c r="AC467" s="363" t="e">
        <f t="shared" ca="1" si="228"/>
        <v>#N/A</v>
      </c>
      <c r="AD467" s="376" t="e">
        <f t="shared" ca="1" si="229"/>
        <v>#N/A</v>
      </c>
      <c r="AE467" s="377">
        <f t="shared" ca="1" si="208"/>
        <v>1169.7411400250207</v>
      </c>
      <c r="AF467" s="344"/>
      <c r="AG467" s="359">
        <f t="shared" ca="1" si="230"/>
        <v>-10.811867402738949</v>
      </c>
      <c r="AH467" s="357">
        <f t="shared" ca="1" si="231"/>
        <v>-1.8481887672394042</v>
      </c>
    </row>
    <row r="468" spans="1:34" x14ac:dyDescent="0.25">
      <c r="A468" s="402">
        <f t="shared" ca="1" si="209"/>
        <v>0.1</v>
      </c>
      <c r="B468" s="357">
        <f t="shared" ca="1" si="210"/>
        <v>10.399999999999936</v>
      </c>
      <c r="C468" s="342"/>
      <c r="D468" s="359">
        <f t="shared" ca="1" si="211"/>
        <v>-0.7386447121491897</v>
      </c>
      <c r="E468" s="360">
        <f t="shared" ca="1" si="212"/>
        <v>-11.44883107968729</v>
      </c>
      <c r="F468" s="357">
        <f t="shared" ca="1" si="213"/>
        <v>11.472633921728681</v>
      </c>
      <c r="G468" s="359">
        <f t="shared" ca="1" si="214"/>
        <v>32.556293489009164</v>
      </c>
      <c r="H468" s="360">
        <f t="shared" ca="1" si="215"/>
        <v>71.251650869411179</v>
      </c>
      <c r="I468" s="357">
        <f t="shared" ca="1" si="216"/>
        <v>78.337155918242033</v>
      </c>
      <c r="J468" s="359">
        <f t="shared" ca="1" si="217"/>
        <v>335.25079060706616</v>
      </c>
      <c r="K468" s="360">
        <f t="shared" ca="1" si="218"/>
        <v>1176.9235492673604</v>
      </c>
      <c r="L468" s="357">
        <f t="shared" ca="1" si="203"/>
        <v>1223.7410401807826</v>
      </c>
      <c r="M468" s="359">
        <f t="shared" ca="1" si="219"/>
        <v>1.1422027754908786</v>
      </c>
      <c r="N468" s="357">
        <f t="shared" ca="1" si="220"/>
        <v>65.443398383756048</v>
      </c>
      <c r="O468" s="343"/>
      <c r="P468" s="363">
        <f t="shared" ca="1" si="221"/>
        <v>23</v>
      </c>
      <c r="Q468" s="357">
        <f t="shared" ca="1" si="222"/>
        <v>0</v>
      </c>
      <c r="R468" s="359">
        <f t="shared" ca="1" si="223"/>
        <v>0</v>
      </c>
      <c r="S468" s="360">
        <f t="shared" ca="1" si="224"/>
        <v>8.6519999999999992</v>
      </c>
      <c r="T468" s="357">
        <f t="shared" ca="1" si="204"/>
        <v>84.87612</v>
      </c>
      <c r="U468" s="364">
        <f t="shared" ca="1" si="205"/>
        <v>0</v>
      </c>
      <c r="V468" s="359">
        <f t="shared" ca="1" si="206"/>
        <v>1.0888393962656209</v>
      </c>
      <c r="W468" s="357">
        <f t="shared" ca="1" si="207"/>
        <v>15.124430976076354</v>
      </c>
      <c r="X468" s="343"/>
      <c r="Y468" s="367" t="str">
        <f t="shared" ca="1" si="225"/>
        <v/>
      </c>
      <c r="Z468" s="368" t="str">
        <f t="shared" ca="1" si="226"/>
        <v/>
      </c>
      <c r="AA468" s="369" t="str">
        <f t="shared" ca="1" si="227"/>
        <v/>
      </c>
      <c r="AB468" s="344"/>
      <c r="AC468" s="363" t="e">
        <f t="shared" ca="1" si="228"/>
        <v>#N/A</v>
      </c>
      <c r="AD468" s="376" t="e">
        <f t="shared" ca="1" si="229"/>
        <v>#N/A</v>
      </c>
      <c r="AE468" s="377">
        <f t="shared" ca="1" si="208"/>
        <v>1176.9235492673604</v>
      </c>
      <c r="AF468" s="344"/>
      <c r="AG468" s="359">
        <f t="shared" ca="1" si="230"/>
        <v>-10.741156822698503</v>
      </c>
      <c r="AH468" s="357">
        <f t="shared" ca="1" si="231"/>
        <v>-1.7975993209096859</v>
      </c>
    </row>
    <row r="469" spans="1:34" x14ac:dyDescent="0.25">
      <c r="A469" s="402">
        <f t="shared" ca="1" si="209"/>
        <v>0.1</v>
      </c>
      <c r="B469" s="357">
        <f t="shared" ca="1" si="210"/>
        <v>10.499999999999936</v>
      </c>
      <c r="C469" s="342"/>
      <c r="D469" s="359">
        <f t="shared" ca="1" si="211"/>
        <v>-0.72649007953144162</v>
      </c>
      <c r="E469" s="360">
        <f t="shared" ca="1" si="212"/>
        <v>-11.399972689131218</v>
      </c>
      <c r="F469" s="357">
        <f t="shared" ca="1" si="213"/>
        <v>11.423097878797819</v>
      </c>
      <c r="G469" s="359">
        <f t="shared" ca="1" si="214"/>
        <v>32.483644481056018</v>
      </c>
      <c r="H469" s="360">
        <f t="shared" ca="1" si="215"/>
        <v>70.111653600498059</v>
      </c>
      <c r="I469" s="357">
        <f t="shared" ca="1" si="216"/>
        <v>77.271153280948724</v>
      </c>
      <c r="J469" s="359">
        <f t="shared" ca="1" si="217"/>
        <v>338.50278750556942</v>
      </c>
      <c r="K469" s="360">
        <f t="shared" ca="1" si="218"/>
        <v>1183.9917144908559</v>
      </c>
      <c r="L469" s="357">
        <f t="shared" ca="1" si="203"/>
        <v>1231.430272947696</v>
      </c>
      <c r="M469" s="359">
        <f t="shared" ca="1" si="219"/>
        <v>1.1369265811599478</v>
      </c>
      <c r="N469" s="357">
        <f t="shared" ca="1" si="220"/>
        <v>65.141094716702867</v>
      </c>
      <c r="O469" s="343"/>
      <c r="P469" s="363">
        <f t="shared" ca="1" si="221"/>
        <v>23</v>
      </c>
      <c r="Q469" s="357">
        <f t="shared" ca="1" si="222"/>
        <v>0</v>
      </c>
      <c r="R469" s="359">
        <f t="shared" ca="1" si="223"/>
        <v>0</v>
      </c>
      <c r="S469" s="360">
        <f t="shared" ca="1" si="224"/>
        <v>8.6519999999999992</v>
      </c>
      <c r="T469" s="357">
        <f t="shared" ca="1" si="204"/>
        <v>84.87612</v>
      </c>
      <c r="U469" s="364">
        <f t="shared" ca="1" si="205"/>
        <v>0</v>
      </c>
      <c r="V469" s="359">
        <f t="shared" ca="1" si="206"/>
        <v>1.088067369946226</v>
      </c>
      <c r="W469" s="357">
        <f t="shared" ca="1" si="207"/>
        <v>14.705174846058892</v>
      </c>
      <c r="X469" s="343"/>
      <c r="Y469" s="367" t="str">
        <f t="shared" ca="1" si="225"/>
        <v/>
      </c>
      <c r="Z469" s="368" t="str">
        <f t="shared" ca="1" si="226"/>
        <v/>
      </c>
      <c r="AA469" s="369" t="str">
        <f t="shared" ca="1" si="227"/>
        <v/>
      </c>
      <c r="AB469" s="344"/>
      <c r="AC469" s="363" t="e">
        <f t="shared" ca="1" si="228"/>
        <v>#N/A</v>
      </c>
      <c r="AD469" s="376" t="e">
        <f t="shared" ca="1" si="229"/>
        <v>#N/A</v>
      </c>
      <c r="AE469" s="377">
        <f t="shared" ca="1" si="208"/>
        <v>1183.9917144908559</v>
      </c>
      <c r="AF469" s="344"/>
      <c r="AG469" s="359">
        <f t="shared" ca="1" si="230"/>
        <v>-10.670781807362276</v>
      </c>
      <c r="AH469" s="357">
        <f t="shared" ca="1" si="231"/>
        <v>-1.7480849486912107</v>
      </c>
    </row>
    <row r="470" spans="1:34" x14ac:dyDescent="0.25">
      <c r="A470" s="402">
        <f t="shared" ca="1" si="209"/>
        <v>0.1</v>
      </c>
      <c r="B470" s="357">
        <f t="shared" ca="1" si="210"/>
        <v>10.599999999999936</v>
      </c>
      <c r="C470" s="342"/>
      <c r="D470" s="359">
        <f t="shared" ca="1" si="211"/>
        <v>-0.7144980311670549</v>
      </c>
      <c r="E470" s="360">
        <f t="shared" ca="1" si="212"/>
        <v>-11.352149572799224</v>
      </c>
      <c r="F470" s="357">
        <f t="shared" ca="1" si="213"/>
        <v>11.374612404813941</v>
      </c>
      <c r="G470" s="359">
        <f t="shared" ca="1" si="214"/>
        <v>32.412194677939311</v>
      </c>
      <c r="H470" s="360">
        <f t="shared" ca="1" si="215"/>
        <v>68.976438643218131</v>
      </c>
      <c r="I470" s="357">
        <f t="shared" ca="1" si="216"/>
        <v>76.212200150253324</v>
      </c>
      <c r="J470" s="359">
        <f t="shared" ca="1" si="217"/>
        <v>341.74757946351917</v>
      </c>
      <c r="K470" s="360">
        <f t="shared" ca="1" si="218"/>
        <v>1190.9461191030416</v>
      </c>
      <c r="L470" s="357">
        <f t="shared" ca="1" si="203"/>
        <v>1239.0093085508963</v>
      </c>
      <c r="M470" s="359">
        <f t="shared" ca="1" si="219"/>
        <v>1.1315153762251644</v>
      </c>
      <c r="N470" s="357">
        <f t="shared" ca="1" si="220"/>
        <v>64.831055511859418</v>
      </c>
      <c r="O470" s="343"/>
      <c r="P470" s="363">
        <f t="shared" ca="1" si="221"/>
        <v>23</v>
      </c>
      <c r="Q470" s="357">
        <f t="shared" ca="1" si="222"/>
        <v>0</v>
      </c>
      <c r="R470" s="359">
        <f t="shared" ca="1" si="223"/>
        <v>0</v>
      </c>
      <c r="S470" s="360">
        <f t="shared" ca="1" si="224"/>
        <v>8.6519999999999992</v>
      </c>
      <c r="T470" s="357">
        <f t="shared" ca="1" si="204"/>
        <v>84.87612</v>
      </c>
      <c r="U470" s="364">
        <f t="shared" ca="1" si="205"/>
        <v>0</v>
      </c>
      <c r="V470" s="359">
        <f t="shared" ca="1" si="206"/>
        <v>1.0873082718721974</v>
      </c>
      <c r="W470" s="357">
        <f t="shared" ca="1" si="207"/>
        <v>14.294906153904876</v>
      </c>
      <c r="X470" s="343"/>
      <c r="Y470" s="367" t="str">
        <f t="shared" ca="1" si="225"/>
        <v/>
      </c>
      <c r="Z470" s="368" t="str">
        <f t="shared" ca="1" si="226"/>
        <v/>
      </c>
      <c r="AA470" s="369" t="str">
        <f t="shared" ca="1" si="227"/>
        <v/>
      </c>
      <c r="AB470" s="344"/>
      <c r="AC470" s="363" t="e">
        <f t="shared" ca="1" si="228"/>
        <v>#N/A</v>
      </c>
      <c r="AD470" s="376" t="e">
        <f t="shared" ca="1" si="229"/>
        <v>#N/A</v>
      </c>
      <c r="AE470" s="377">
        <f t="shared" ca="1" si="208"/>
        <v>1190.9461191030416</v>
      </c>
      <c r="AF470" s="344"/>
      <c r="AG470" s="359">
        <f t="shared" ca="1" si="230"/>
        <v>-10.600689179799559</v>
      </c>
      <c r="AH470" s="357">
        <f t="shared" ca="1" si="231"/>
        <v>-1.6996272360216012</v>
      </c>
    </row>
    <row r="471" spans="1:34" x14ac:dyDescent="0.25">
      <c r="A471" s="402">
        <f t="shared" ca="1" si="209"/>
        <v>0.1</v>
      </c>
      <c r="B471" s="357">
        <f t="shared" ca="1" si="210"/>
        <v>10.699999999999935</v>
      </c>
      <c r="C471" s="342"/>
      <c r="D471" s="359">
        <f t="shared" ca="1" si="211"/>
        <v>-0.70266567224658705</v>
      </c>
      <c r="E471" s="360">
        <f t="shared" ca="1" si="212"/>
        <v>-11.305343839255682</v>
      </c>
      <c r="F471" s="357">
        <f t="shared" ca="1" si="213"/>
        <v>11.327159324859439</v>
      </c>
      <c r="G471" s="359">
        <f t="shared" ca="1" si="214"/>
        <v>32.341928110714655</v>
      </c>
      <c r="H471" s="360">
        <f t="shared" ca="1" si="215"/>
        <v>67.845904259292567</v>
      </c>
      <c r="I471" s="357">
        <f t="shared" ca="1" si="216"/>
        <v>75.160275669263797</v>
      </c>
      <c r="J471" s="359">
        <f t="shared" ca="1" si="217"/>
        <v>344.98528560295188</v>
      </c>
      <c r="K471" s="360">
        <f t="shared" ca="1" si="218"/>
        <v>1197.7872362481671</v>
      </c>
      <c r="L471" s="357">
        <f t="shared" ca="1" si="203"/>
        <v>1246.4786843751372</v>
      </c>
      <c r="M471" s="359">
        <f t="shared" ca="1" si="219"/>
        <v>1.1259644326499438</v>
      </c>
      <c r="N471" s="357">
        <f t="shared" ca="1" si="220"/>
        <v>64.513009872684009</v>
      </c>
      <c r="O471" s="343"/>
      <c r="P471" s="363">
        <f t="shared" ca="1" si="221"/>
        <v>23</v>
      </c>
      <c r="Q471" s="357">
        <f t="shared" ca="1" si="222"/>
        <v>0</v>
      </c>
      <c r="R471" s="359">
        <f t="shared" ca="1" si="223"/>
        <v>0</v>
      </c>
      <c r="S471" s="360">
        <f t="shared" ca="1" si="224"/>
        <v>8.6519999999999992</v>
      </c>
      <c r="T471" s="357">
        <f t="shared" ca="1" si="204"/>
        <v>84.87612</v>
      </c>
      <c r="U471" s="364">
        <f t="shared" ca="1" si="205"/>
        <v>0</v>
      </c>
      <c r="V471" s="359">
        <f t="shared" ca="1" si="206"/>
        <v>1.086562025502837</v>
      </c>
      <c r="W471" s="357">
        <f t="shared" ca="1" si="207"/>
        <v>13.893474528756659</v>
      </c>
      <c r="X471" s="343"/>
      <c r="Y471" s="367" t="str">
        <f t="shared" ca="1" si="225"/>
        <v/>
      </c>
      <c r="Z471" s="368" t="str">
        <f t="shared" ca="1" si="226"/>
        <v/>
      </c>
      <c r="AA471" s="369" t="str">
        <f t="shared" ca="1" si="227"/>
        <v/>
      </c>
      <c r="AB471" s="344"/>
      <c r="AC471" s="363" t="e">
        <f t="shared" ca="1" si="228"/>
        <v>#N/A</v>
      </c>
      <c r="AD471" s="376" t="e">
        <f t="shared" ca="1" si="229"/>
        <v>#N/A</v>
      </c>
      <c r="AE471" s="377">
        <f t="shared" ca="1" si="208"/>
        <v>1197.7872362481671</v>
      </c>
      <c r="AF471" s="344"/>
      <c r="AG471" s="359">
        <f t="shared" ca="1" si="230"/>
        <v>-10.530824338478272</v>
      </c>
      <c r="AH471" s="357">
        <f t="shared" ca="1" si="231"/>
        <v>-1.6522082933315854</v>
      </c>
    </row>
    <row r="472" spans="1:34" x14ac:dyDescent="0.25">
      <c r="A472" s="402">
        <f t="shared" ca="1" si="209"/>
        <v>0.1</v>
      </c>
      <c r="B472" s="357">
        <f t="shared" ca="1" si="210"/>
        <v>10.799999999999935</v>
      </c>
      <c r="C472" s="342"/>
      <c r="D472" s="359">
        <f t="shared" ca="1" si="211"/>
        <v>-0.6909902215432483</v>
      </c>
      <c r="E472" s="360">
        <f t="shared" ca="1" si="212"/>
        <v>-11.259538081169604</v>
      </c>
      <c r="F472" s="357">
        <f t="shared" ca="1" si="213"/>
        <v>11.280720956019472</v>
      </c>
      <c r="G472" s="359">
        <f t="shared" ca="1" si="214"/>
        <v>32.272829088560329</v>
      </c>
      <c r="H472" s="360">
        <f t="shared" ca="1" si="215"/>
        <v>66.719950451175606</v>
      </c>
      <c r="I472" s="357">
        <f t="shared" ca="1" si="216"/>
        <v>74.115364706562389</v>
      </c>
      <c r="J472" s="359">
        <f t="shared" ca="1" si="217"/>
        <v>348.21602346291564</v>
      </c>
      <c r="K472" s="360">
        <f t="shared" ca="1" si="218"/>
        <v>1204.5155289836905</v>
      </c>
      <c r="L472" s="357">
        <f t="shared" ca="1" si="203"/>
        <v>1253.8389284749398</v>
      </c>
      <c r="M472" s="359">
        <f t="shared" ca="1" si="219"/>
        <v>1.1202688173423705</v>
      </c>
      <c r="N472" s="357">
        <f t="shared" ca="1" si="220"/>
        <v>64.186675153829952</v>
      </c>
      <c r="O472" s="343"/>
      <c r="P472" s="363">
        <f t="shared" ca="1" si="221"/>
        <v>23</v>
      </c>
      <c r="Q472" s="357">
        <f t="shared" ca="1" si="222"/>
        <v>0</v>
      </c>
      <c r="R472" s="359">
        <f t="shared" ca="1" si="223"/>
        <v>0</v>
      </c>
      <c r="S472" s="360">
        <f t="shared" ca="1" si="224"/>
        <v>8.6519999999999992</v>
      </c>
      <c r="T472" s="357">
        <f t="shared" ca="1" si="204"/>
        <v>84.87612</v>
      </c>
      <c r="U472" s="364">
        <f t="shared" ca="1" si="205"/>
        <v>0</v>
      </c>
      <c r="V472" s="359">
        <f t="shared" ca="1" si="206"/>
        <v>1.0858285559754319</v>
      </c>
      <c r="W472" s="357">
        <f t="shared" ca="1" si="207"/>
        <v>13.500733881800731</v>
      </c>
      <c r="X472" s="343"/>
      <c r="Y472" s="367" t="str">
        <f t="shared" ca="1" si="225"/>
        <v/>
      </c>
      <c r="Z472" s="368" t="str">
        <f t="shared" ca="1" si="226"/>
        <v/>
      </c>
      <c r="AA472" s="369" t="str">
        <f t="shared" ca="1" si="227"/>
        <v/>
      </c>
      <c r="AB472" s="344"/>
      <c r="AC472" s="363" t="e">
        <f t="shared" ca="1" si="228"/>
        <v>#N/A</v>
      </c>
      <c r="AD472" s="376" t="e">
        <f t="shared" ca="1" si="229"/>
        <v>#N/A</v>
      </c>
      <c r="AE472" s="377">
        <f t="shared" ca="1" si="208"/>
        <v>1204.5155289836905</v>
      </c>
      <c r="AF472" s="344"/>
      <c r="AG472" s="359">
        <f t="shared" ca="1" si="230"/>
        <v>-10.461131119171583</v>
      </c>
      <c r="AH472" s="357">
        <f t="shared" ca="1" si="231"/>
        <v>-1.6058107407254578</v>
      </c>
    </row>
    <row r="473" spans="1:34" x14ac:dyDescent="0.25">
      <c r="A473" s="402">
        <f t="shared" ca="1" si="209"/>
        <v>0.1</v>
      </c>
      <c r="B473" s="357">
        <f t="shared" ca="1" si="210"/>
        <v>10.899999999999935</v>
      </c>
      <c r="C473" s="342"/>
      <c r="D473" s="359">
        <f t="shared" ca="1" si="211"/>
        <v>-0.67946901050362518</v>
      </c>
      <c r="E473" s="360">
        <f t="shared" ca="1" si="212"/>
        <v>-11.214715359459474</v>
      </c>
      <c r="F473" s="357">
        <f t="shared" ca="1" si="213"/>
        <v>11.235280091298614</v>
      </c>
      <c r="G473" s="359">
        <f t="shared" ca="1" si="214"/>
        <v>32.204882187509966</v>
      </c>
      <c r="H473" s="360">
        <f t="shared" ca="1" si="215"/>
        <v>65.598478915229663</v>
      </c>
      <c r="I473" s="357">
        <f t="shared" ca="1" si="216"/>
        <v>73.077458033946613</v>
      </c>
      <c r="J473" s="359">
        <f t="shared" ca="1" si="217"/>
        <v>351.43990902671914</v>
      </c>
      <c r="K473" s="360">
        <f t="shared" ca="1" si="218"/>
        <v>1211.1314504520108</v>
      </c>
      <c r="L473" s="357">
        <f t="shared" ca="1" si="203"/>
        <v>1261.0905597659116</v>
      </c>
      <c r="M473" s="359">
        <f t="shared" ca="1" si="219"/>
        <v>1.1144233823314402</v>
      </c>
      <c r="N473" s="357">
        <f t="shared" ca="1" si="220"/>
        <v>63.851756398285644</v>
      </c>
      <c r="O473" s="343"/>
      <c r="P473" s="363">
        <f t="shared" ca="1" si="221"/>
        <v>23</v>
      </c>
      <c r="Q473" s="357">
        <f t="shared" ca="1" si="222"/>
        <v>0</v>
      </c>
      <c r="R473" s="359">
        <f t="shared" ca="1" si="223"/>
        <v>0</v>
      </c>
      <c r="S473" s="360">
        <f t="shared" ca="1" si="224"/>
        <v>8.6519999999999992</v>
      </c>
      <c r="T473" s="357">
        <f t="shared" ca="1" si="204"/>
        <v>84.87612</v>
      </c>
      <c r="U473" s="364">
        <f t="shared" ca="1" si="205"/>
        <v>0</v>
      </c>
      <c r="V473" s="359">
        <f t="shared" ca="1" si="206"/>
        <v>1.0851077900752817</v>
      </c>
      <c r="W473" s="357">
        <f t="shared" ca="1" si="207"/>
        <v>13.116542283308789</v>
      </c>
      <c r="X473" s="343"/>
      <c r="Y473" s="367" t="str">
        <f t="shared" ca="1" si="225"/>
        <v/>
      </c>
      <c r="Z473" s="368" t="str">
        <f t="shared" ca="1" si="226"/>
        <v/>
      </c>
      <c r="AA473" s="369" t="str">
        <f t="shared" ca="1" si="227"/>
        <v/>
      </c>
      <c r="AB473" s="344"/>
      <c r="AC473" s="363" t="e">
        <f t="shared" ca="1" si="228"/>
        <v>#N/A</v>
      </c>
      <c r="AD473" s="376" t="e">
        <f t="shared" ca="1" si="229"/>
        <v>#N/A</v>
      </c>
      <c r="AE473" s="377">
        <f t="shared" ca="1" si="208"/>
        <v>1211.1314504520108</v>
      </c>
      <c r="AF473" s="344"/>
      <c r="AG473" s="359">
        <f t="shared" ca="1" si="230"/>
        <v>-10.391551649288955</v>
      </c>
      <c r="AH473" s="357">
        <f t="shared" ca="1" si="231"/>
        <v>-1.5604176932270841</v>
      </c>
    </row>
    <row r="474" spans="1:34" x14ac:dyDescent="0.25">
      <c r="A474" s="402">
        <f t="shared" ca="1" si="209"/>
        <v>0.1</v>
      </c>
      <c r="B474" s="357">
        <f t="shared" ca="1" si="210"/>
        <v>10.999999999999934</v>
      </c>
      <c r="C474" s="342"/>
      <c r="D474" s="359">
        <f t="shared" ca="1" si="211"/>
        <v>-0.66809948254241769</v>
      </c>
      <c r="E474" s="360">
        <f t="shared" ca="1" si="212"/>
        <v>-11.170859187860399</v>
      </c>
      <c r="F474" s="357">
        <f t="shared" ca="1" si="213"/>
        <v>11.190819983968044</v>
      </c>
      <c r="G474" s="359">
        <f t="shared" ca="1" si="214"/>
        <v>32.138072239255727</v>
      </c>
      <c r="H474" s="360">
        <f t="shared" ca="1" si="215"/>
        <v>64.481392996443617</v>
      </c>
      <c r="I474" s="357">
        <f t="shared" ca="1" si="216"/>
        <v>72.046552520002152</v>
      </c>
      <c r="J474" s="359">
        <f t="shared" ca="1" si="217"/>
        <v>354.65705674805741</v>
      </c>
      <c r="K474" s="360">
        <f t="shared" ca="1" si="218"/>
        <v>1217.6354440475943</v>
      </c>
      <c r="L474" s="357">
        <f t="shared" ca="1" si="203"/>
        <v>1268.234088211706</v>
      </c>
      <c r="M474" s="359">
        <f t="shared" ca="1" si="219"/>
        <v>1.108422754500868</v>
      </c>
      <c r="N474" s="357">
        <f t="shared" ca="1" si="220"/>
        <v>63.50794574916511</v>
      </c>
      <c r="O474" s="343"/>
      <c r="P474" s="363">
        <f t="shared" ca="1" si="221"/>
        <v>23</v>
      </c>
      <c r="Q474" s="357">
        <f t="shared" ca="1" si="222"/>
        <v>0</v>
      </c>
      <c r="R474" s="359">
        <f t="shared" ca="1" si="223"/>
        <v>0</v>
      </c>
      <c r="S474" s="360">
        <f t="shared" ca="1" si="224"/>
        <v>8.6519999999999992</v>
      </c>
      <c r="T474" s="357">
        <f t="shared" ca="1" si="204"/>
        <v>84.87612</v>
      </c>
      <c r="U474" s="364">
        <f t="shared" ca="1" si="205"/>
        <v>0</v>
      </c>
      <c r="V474" s="359">
        <f t="shared" ca="1" si="206"/>
        <v>1.084399656206577</v>
      </c>
      <c r="W474" s="357">
        <f t="shared" ca="1" si="207"/>
        <v>12.740761844179922</v>
      </c>
      <c r="X474" s="343"/>
      <c r="Y474" s="367" t="str">
        <f t="shared" ca="1" si="225"/>
        <v/>
      </c>
      <c r="Z474" s="368" t="str">
        <f t="shared" ca="1" si="226"/>
        <v/>
      </c>
      <c r="AA474" s="369" t="str">
        <f t="shared" ca="1" si="227"/>
        <v/>
      </c>
      <c r="AB474" s="344"/>
      <c r="AC474" s="363">
        <f t="shared" ca="1" si="228"/>
        <v>10.999999999999934</v>
      </c>
      <c r="AD474" s="376">
        <f t="shared" ca="1" si="229"/>
        <v>354.65705674805741</v>
      </c>
      <c r="AE474" s="377">
        <f t="shared" ca="1" si="208"/>
        <v>1217.6354440475943</v>
      </c>
      <c r="AF474" s="344"/>
      <c r="AG474" s="359">
        <f t="shared" ca="1" si="230"/>
        <v>-10.322026194100474</v>
      </c>
      <c r="AH474" s="357">
        <f t="shared" ca="1" si="231"/>
        <v>-1.5160127465682836</v>
      </c>
    </row>
    <row r="475" spans="1:34" x14ac:dyDescent="0.25">
      <c r="A475" s="402">
        <f t="shared" ca="1" si="209"/>
        <v>0.1</v>
      </c>
      <c r="B475" s="357">
        <f t="shared" ca="1" si="210"/>
        <v>11.099999999999934</v>
      </c>
      <c r="C475" s="342"/>
      <c r="D475" s="359">
        <f t="shared" ca="1" si="211"/>
        <v>-0.65687919254460592</v>
      </c>
      <c r="E475" s="360">
        <f t="shared" ca="1" si="212"/>
        <v>-11.127953517881451</v>
      </c>
      <c r="F475" s="357">
        <f t="shared" ca="1" si="213"/>
        <v>11.147324332310792</v>
      </c>
      <c r="G475" s="359">
        <f t="shared" ca="1" si="214"/>
        <v>32.072384320001269</v>
      </c>
      <c r="H475" s="360">
        <f t="shared" ca="1" si="215"/>
        <v>63.368597644655473</v>
      </c>
      <c r="I475" s="357">
        <f t="shared" ca="1" si="216"/>
        <v>71.022651340400543</v>
      </c>
      <c r="J475" s="359">
        <f t="shared" ca="1" si="217"/>
        <v>357.86757957602026</v>
      </c>
      <c r="K475" s="360">
        <f t="shared" ca="1" si="218"/>
        <v>1224.0279435796492</v>
      </c>
      <c r="L475" s="357">
        <f t="shared" ca="1" si="203"/>
        <v>1275.2700150067922</v>
      </c>
      <c r="M475" s="359">
        <f t="shared" ca="1" si="219"/>
        <v>1.1022613248722308</v>
      </c>
      <c r="N475" s="357">
        <f t="shared" ca="1" si="220"/>
        <v>63.154921835677342</v>
      </c>
      <c r="O475" s="343"/>
      <c r="P475" s="363">
        <f t="shared" ca="1" si="221"/>
        <v>23</v>
      </c>
      <c r="Q475" s="357">
        <f t="shared" ca="1" si="222"/>
        <v>0</v>
      </c>
      <c r="R475" s="359">
        <f t="shared" ca="1" si="223"/>
        <v>0</v>
      </c>
      <c r="S475" s="360">
        <f t="shared" ca="1" si="224"/>
        <v>8.6519999999999992</v>
      </c>
      <c r="T475" s="357">
        <f t="shared" ca="1" si="204"/>
        <v>84.87612</v>
      </c>
      <c r="U475" s="364">
        <f t="shared" ca="1" si="205"/>
        <v>0</v>
      </c>
      <c r="V475" s="359">
        <f t="shared" ca="1" si="206"/>
        <v>1.0837040843640944</v>
      </c>
      <c r="W475" s="357">
        <f t="shared" ca="1" si="207"/>
        <v>12.37325860180092</v>
      </c>
      <c r="X475" s="343"/>
      <c r="Y475" s="367" t="str">
        <f t="shared" ca="1" si="225"/>
        <v/>
      </c>
      <c r="Z475" s="368" t="str">
        <f t="shared" ca="1" si="226"/>
        <v/>
      </c>
      <c r="AA475" s="369" t="str">
        <f t="shared" ca="1" si="227"/>
        <v/>
      </c>
      <c r="AB475" s="344"/>
      <c r="AC475" s="363" t="e">
        <f t="shared" ca="1" si="228"/>
        <v>#N/A</v>
      </c>
      <c r="AD475" s="376" t="e">
        <f t="shared" ca="1" si="229"/>
        <v>#N/A</v>
      </c>
      <c r="AE475" s="377">
        <f t="shared" ca="1" si="208"/>
        <v>1224.0279435796492</v>
      </c>
      <c r="AF475" s="344"/>
      <c r="AG475" s="359">
        <f t="shared" ca="1" si="230"/>
        <v>-10.252492994304784</v>
      </c>
      <c r="AH475" s="357">
        <f t="shared" ca="1" si="231"/>
        <v>-1.4725799634974484</v>
      </c>
    </row>
    <row r="476" spans="1:34" x14ac:dyDescent="0.25">
      <c r="A476" s="402">
        <f t="shared" ca="1" si="209"/>
        <v>0.1</v>
      </c>
      <c r="B476" s="357">
        <f t="shared" ca="1" si="210"/>
        <v>11.199999999999934</v>
      </c>
      <c r="C476" s="342"/>
      <c r="D476" s="359">
        <f t="shared" ca="1" si="211"/>
        <v>-0.64580580657907705</v>
      </c>
      <c r="E476" s="360">
        <f t="shared" ca="1" si="212"/>
        <v>-11.085982724121028</v>
      </c>
      <c r="F476" s="357">
        <f t="shared" ca="1" si="213"/>
        <v>11.104777264732558</v>
      </c>
      <c r="G476" s="359">
        <f t="shared" ca="1" si="214"/>
        <v>32.007803739343359</v>
      </c>
      <c r="H476" s="360">
        <f t="shared" ca="1" si="215"/>
        <v>62.259999372243371</v>
      </c>
      <c r="I476" s="357">
        <f t="shared" ca="1" si="216"/>
        <v>70.005764205871415</v>
      </c>
      <c r="J476" s="359">
        <f t="shared" ca="1" si="217"/>
        <v>361.07158897898751</v>
      </c>
      <c r="K476" s="360">
        <f t="shared" ca="1" si="218"/>
        <v>1230.3093734304941</v>
      </c>
      <c r="L476" s="357">
        <f t="shared" ca="1" si="203"/>
        <v>1282.1988327551801</v>
      </c>
      <c r="M476" s="359">
        <f t="shared" ca="1" si="219"/>
        <v>1.0959332374316466</v>
      </c>
      <c r="N476" s="357">
        <f t="shared" ca="1" si="220"/>
        <v>62.792349132942121</v>
      </c>
      <c r="O476" s="343"/>
      <c r="P476" s="363">
        <f t="shared" ca="1" si="221"/>
        <v>23</v>
      </c>
      <c r="Q476" s="357">
        <f t="shared" ca="1" si="222"/>
        <v>0</v>
      </c>
      <c r="R476" s="359">
        <f t="shared" ca="1" si="223"/>
        <v>0</v>
      </c>
      <c r="S476" s="360">
        <f t="shared" ca="1" si="224"/>
        <v>8.6519999999999992</v>
      </c>
      <c r="T476" s="357">
        <f t="shared" ca="1" si="204"/>
        <v>84.87612</v>
      </c>
      <c r="U476" s="364">
        <f t="shared" ca="1" si="205"/>
        <v>0</v>
      </c>
      <c r="V476" s="359">
        <f t="shared" ca="1" si="206"/>
        <v>1.0830210061056851</v>
      </c>
      <c r="W476" s="357">
        <f t="shared" ca="1" si="207"/>
        <v>12.013902410049704</v>
      </c>
      <c r="X476" s="343"/>
      <c r="Y476" s="367" t="str">
        <f t="shared" ca="1" si="225"/>
        <v/>
      </c>
      <c r="Z476" s="368" t="str">
        <f t="shared" ca="1" si="226"/>
        <v/>
      </c>
      <c r="AA476" s="369" t="str">
        <f t="shared" ca="1" si="227"/>
        <v/>
      </c>
      <c r="AB476" s="344"/>
      <c r="AC476" s="363" t="e">
        <f t="shared" ca="1" si="228"/>
        <v>#N/A</v>
      </c>
      <c r="AD476" s="376" t="e">
        <f t="shared" ca="1" si="229"/>
        <v>#N/A</v>
      </c>
      <c r="AE476" s="377">
        <f t="shared" ca="1" si="208"/>
        <v>1230.3093734304941</v>
      </c>
      <c r="AF476" s="344"/>
      <c r="AG476" s="359">
        <f t="shared" ca="1" si="230"/>
        <v>-10.182888094375116</v>
      </c>
      <c r="AH476" s="357">
        <f t="shared" ca="1" si="231"/>
        <v>-1.430103860587254</v>
      </c>
    </row>
    <row r="477" spans="1:34" x14ac:dyDescent="0.25">
      <c r="A477" s="402">
        <f t="shared" ca="1" si="209"/>
        <v>0.1</v>
      </c>
      <c r="B477" s="357">
        <f t="shared" ca="1" si="210"/>
        <v>11.299999999999933</v>
      </c>
      <c r="C477" s="342"/>
      <c r="D477" s="359">
        <f t="shared" ca="1" si="211"/>
        <v>-0.63487710182834667</v>
      </c>
      <c r="E477" s="360">
        <f t="shared" ca="1" si="212"/>
        <v>-11.044931589907815</v>
      </c>
      <c r="F477" s="357">
        <f t="shared" ca="1" si="213"/>
        <v>11.063163325205387</v>
      </c>
      <c r="G477" s="359">
        <f t="shared" ca="1" si="214"/>
        <v>31.944316029160525</v>
      </c>
      <c r="H477" s="360">
        <f t="shared" ca="1" si="215"/>
        <v>61.155506213252586</v>
      </c>
      <c r="I477" s="357">
        <f t="shared" ca="1" si="216"/>
        <v>68.99590760885792</v>
      </c>
      <c r="J477" s="359">
        <f t="shared" ca="1" si="217"/>
        <v>364.26919496741272</v>
      </c>
      <c r="K477" s="360">
        <f t="shared" ca="1" si="218"/>
        <v>1236.4801487097689</v>
      </c>
      <c r="L477" s="357">
        <f t="shared" ca="1" si="203"/>
        <v>1289.0210256452526</v>
      </c>
      <c r="M477" s="359">
        <f t="shared" ca="1" si="219"/>
        <v>1.0894323774972552</v>
      </c>
      <c r="N477" s="357">
        <f t="shared" ca="1" si="220"/>
        <v>62.419877295495802</v>
      </c>
      <c r="O477" s="343"/>
      <c r="P477" s="363">
        <f t="shared" ca="1" si="221"/>
        <v>23</v>
      </c>
      <c r="Q477" s="357">
        <f t="shared" ca="1" si="222"/>
        <v>0</v>
      </c>
      <c r="R477" s="359">
        <f t="shared" ca="1" si="223"/>
        <v>0</v>
      </c>
      <c r="S477" s="360">
        <f t="shared" ca="1" si="224"/>
        <v>8.6519999999999992</v>
      </c>
      <c r="T477" s="357">
        <f t="shared" ca="1" si="204"/>
        <v>84.87612</v>
      </c>
      <c r="U477" s="364">
        <f t="shared" ca="1" si="205"/>
        <v>0</v>
      </c>
      <c r="V477" s="359">
        <f t="shared" ca="1" si="206"/>
        <v>1.0823503545255364</v>
      </c>
      <c r="W477" s="357">
        <f t="shared" ca="1" si="207"/>
        <v>11.662566833274784</v>
      </c>
      <c r="X477" s="343"/>
      <c r="Y477" s="367" t="str">
        <f t="shared" ca="1" si="225"/>
        <v/>
      </c>
      <c r="Z477" s="368" t="str">
        <f t="shared" ca="1" si="226"/>
        <v/>
      </c>
      <c r="AA477" s="369" t="str">
        <f t="shared" ca="1" si="227"/>
        <v/>
      </c>
      <c r="AB477" s="344"/>
      <c r="AC477" s="363" t="e">
        <f t="shared" ca="1" si="228"/>
        <v>#N/A</v>
      </c>
      <c r="AD477" s="376" t="e">
        <f t="shared" ca="1" si="229"/>
        <v>#N/A</v>
      </c>
      <c r="AE477" s="377">
        <f t="shared" ca="1" si="208"/>
        <v>1236.4801487097689</v>
      </c>
      <c r="AF477" s="344"/>
      <c r="AG477" s="359">
        <f t="shared" ca="1" si="230"/>
        <v>-10.11314516110486</v>
      </c>
      <c r="AH477" s="357">
        <f t="shared" ca="1" si="231"/>
        <v>-1.3885693955212326</v>
      </c>
    </row>
    <row r="478" spans="1:34" x14ac:dyDescent="0.25">
      <c r="A478" s="402">
        <f t="shared" ca="1" si="209"/>
        <v>0.1</v>
      </c>
      <c r="B478" s="357">
        <f t="shared" ca="1" si="210"/>
        <v>11.399999999999933</v>
      </c>
      <c r="C478" s="342"/>
      <c r="D478" s="359">
        <f t="shared" ca="1" si="211"/>
        <v>-0.62409096673963504</v>
      </c>
      <c r="E478" s="360">
        <f t="shared" ca="1" si="212"/>
        <v>-11.00478529323464</v>
      </c>
      <c r="F478" s="357">
        <f t="shared" ca="1" si="213"/>
        <v>11.022467459011137</v>
      </c>
      <c r="G478" s="359">
        <f t="shared" ca="1" si="214"/>
        <v>31.881906932486562</v>
      </c>
      <c r="H478" s="360">
        <f t="shared" ca="1" si="215"/>
        <v>60.055027683929126</v>
      </c>
      <c r="I478" s="357">
        <f t="shared" ca="1" si="216"/>
        <v>67.993105089922381</v>
      </c>
      <c r="J478" s="359">
        <f t="shared" ca="1" si="217"/>
        <v>367.46050611549509</v>
      </c>
      <c r="K478" s="360">
        <f t="shared" ca="1" si="218"/>
        <v>1242.540675404628</v>
      </c>
      <c r="L478" s="357">
        <f t="shared" ca="1" si="203"/>
        <v>1295.7370696208568</v>
      </c>
      <c r="M478" s="359">
        <f t="shared" ca="1" si="219"/>
        <v>1.0827523596285644</v>
      </c>
      <c r="N478" s="357">
        <f t="shared" ca="1" si="220"/>
        <v>62.037140464547846</v>
      </c>
      <c r="O478" s="343"/>
      <c r="P478" s="363">
        <f t="shared" ca="1" si="221"/>
        <v>23</v>
      </c>
      <c r="Q478" s="357">
        <f t="shared" ca="1" si="222"/>
        <v>0</v>
      </c>
      <c r="R478" s="359">
        <f t="shared" ca="1" si="223"/>
        <v>0</v>
      </c>
      <c r="S478" s="360">
        <f t="shared" ca="1" si="224"/>
        <v>8.6519999999999992</v>
      </c>
      <c r="T478" s="357">
        <f t="shared" ca="1" si="204"/>
        <v>84.87612</v>
      </c>
      <c r="U478" s="364">
        <f t="shared" ca="1" si="205"/>
        <v>0</v>
      </c>
      <c r="V478" s="359">
        <f t="shared" ca="1" si="206"/>
        <v>1.0816920642281718</v>
      </c>
      <c r="W478" s="357">
        <f t="shared" ca="1" si="207"/>
        <v>11.319129044090502</v>
      </c>
      <c r="X478" s="343"/>
      <c r="Y478" s="367" t="str">
        <f t="shared" ca="1" si="225"/>
        <v/>
      </c>
      <c r="Z478" s="368" t="str">
        <f t="shared" ca="1" si="226"/>
        <v/>
      </c>
      <c r="AA478" s="369" t="str">
        <f t="shared" ca="1" si="227"/>
        <v/>
      </c>
      <c r="AB478" s="344"/>
      <c r="AC478" s="363" t="e">
        <f t="shared" ca="1" si="228"/>
        <v>#N/A</v>
      </c>
      <c r="AD478" s="376" t="e">
        <f t="shared" ca="1" si="229"/>
        <v>#N/A</v>
      </c>
      <c r="AE478" s="377">
        <f t="shared" ca="1" si="208"/>
        <v>1242.540675404628</v>
      </c>
      <c r="AF478" s="344"/>
      <c r="AG478" s="359">
        <f t="shared" ca="1" si="230"/>
        <v>-10.043195291765901</v>
      </c>
      <c r="AH478" s="357">
        <f t="shared" ca="1" si="231"/>
        <v>-1.3479619548398967</v>
      </c>
    </row>
    <row r="479" spans="1:34" x14ac:dyDescent="0.25">
      <c r="A479" s="402">
        <f t="shared" ca="1" si="209"/>
        <v>0.1</v>
      </c>
      <c r="B479" s="357">
        <f t="shared" ca="1" si="210"/>
        <v>11.499999999999932</v>
      </c>
      <c r="C479" s="342"/>
      <c r="D479" s="359">
        <f t="shared" ca="1" si="211"/>
        <v>-0.61344540140313453</v>
      </c>
      <c r="E479" s="360">
        <f t="shared" ca="1" si="212"/>
        <v>-10.965529392951872</v>
      </c>
      <c r="F479" s="357">
        <f t="shared" ca="1" si="213"/>
        <v>10.982674998751174</v>
      </c>
      <c r="G479" s="359">
        <f t="shared" ca="1" si="214"/>
        <v>31.820562392346247</v>
      </c>
      <c r="H479" s="360">
        <f t="shared" ca="1" si="215"/>
        <v>58.958474744633939</v>
      </c>
      <c r="I479" s="357">
        <f t="shared" ca="1" si="216"/>
        <v>66.997387525028458</v>
      </c>
      <c r="J479" s="359">
        <f t="shared" ca="1" si="217"/>
        <v>370.64562958173673</v>
      </c>
      <c r="K479" s="360">
        <f t="shared" ca="1" si="218"/>
        <v>1248.4913505260561</v>
      </c>
      <c r="L479" s="357">
        <f t="shared" ca="1" si="203"/>
        <v>1302.3474325487871</v>
      </c>
      <c r="M479" s="359">
        <f t="shared" ca="1" si="219"/>
        <v>1.0758865150833679</v>
      </c>
      <c r="N479" s="357">
        <f t="shared" ca="1" si="220"/>
        <v>61.643756549315164</v>
      </c>
      <c r="O479" s="343"/>
      <c r="P479" s="363">
        <f t="shared" ca="1" si="221"/>
        <v>23</v>
      </c>
      <c r="Q479" s="357">
        <f t="shared" ca="1" si="222"/>
        <v>0</v>
      </c>
      <c r="R479" s="359">
        <f t="shared" ca="1" si="223"/>
        <v>0</v>
      </c>
      <c r="S479" s="360">
        <f t="shared" ca="1" si="224"/>
        <v>8.6519999999999992</v>
      </c>
      <c r="T479" s="357">
        <f t="shared" ca="1" si="204"/>
        <v>84.87612</v>
      </c>
      <c r="U479" s="364">
        <f t="shared" ca="1" si="205"/>
        <v>0</v>
      </c>
      <c r="V479" s="359">
        <f t="shared" ca="1" si="206"/>
        <v>1.08104607130317</v>
      </c>
      <c r="W479" s="357">
        <f t="shared" ca="1" si="207"/>
        <v>10.983469724834912</v>
      </c>
      <c r="X479" s="343"/>
      <c r="Y479" s="367" t="str">
        <f t="shared" ca="1" si="225"/>
        <v/>
      </c>
      <c r="Z479" s="368" t="str">
        <f t="shared" ca="1" si="226"/>
        <v/>
      </c>
      <c r="AA479" s="369" t="str">
        <f t="shared" ca="1" si="227"/>
        <v/>
      </c>
      <c r="AB479" s="344"/>
      <c r="AC479" s="363" t="e">
        <f t="shared" ca="1" si="228"/>
        <v>#N/A</v>
      </c>
      <c r="AD479" s="376" t="e">
        <f t="shared" ca="1" si="229"/>
        <v>#N/A</v>
      </c>
      <c r="AE479" s="377">
        <f t="shared" ca="1" si="208"/>
        <v>1248.4913505260561</v>
      </c>
      <c r="AF479" s="344"/>
      <c r="AG479" s="359">
        <f t="shared" ca="1" si="230"/>
        <v>-9.9729668112901582</v>
      </c>
      <c r="AH479" s="357">
        <f t="shared" ca="1" si="231"/>
        <v>-1.3082673421278899</v>
      </c>
    </row>
    <row r="480" spans="1:34" x14ac:dyDescent="0.25">
      <c r="A480" s="402">
        <f t="shared" ca="1" si="209"/>
        <v>0.1</v>
      </c>
      <c r="B480" s="357">
        <f t="shared" ca="1" si="210"/>
        <v>11.599999999999932</v>
      </c>
      <c r="C480" s="342"/>
      <c r="D480" s="359">
        <f t="shared" ca="1" si="211"/>
        <v>-0.60293851816394095</v>
      </c>
      <c r="E480" s="360">
        <f t="shared" ca="1" si="212"/>
        <v>-10.927149815186363</v>
      </c>
      <c r="F480" s="357">
        <f t="shared" ca="1" si="213"/>
        <v>10.943771650587978</v>
      </c>
      <c r="G480" s="359">
        <f t="shared" ca="1" si="214"/>
        <v>31.760268540529854</v>
      </c>
      <c r="H480" s="360">
        <f t="shared" ca="1" si="215"/>
        <v>57.8657597631153</v>
      </c>
      <c r="I480" s="357">
        <f t="shared" ca="1" si="216"/>
        <v>66.008793434883685</v>
      </c>
      <c r="J480" s="359">
        <f t="shared" ca="1" si="217"/>
        <v>373.82467112838054</v>
      </c>
      <c r="K480" s="360">
        <f t="shared" ca="1" si="218"/>
        <v>1254.3325622514435</v>
      </c>
      <c r="L480" s="357">
        <f t="shared" ca="1" si="203"/>
        <v>1308.8525743828116</v>
      </c>
      <c r="M480" s="359">
        <f t="shared" ca="1" si="219"/>
        <v>1.0688278788336223</v>
      </c>
      <c r="N480" s="357">
        <f t="shared" ca="1" si="220"/>
        <v>61.239326483086693</v>
      </c>
      <c r="O480" s="343"/>
      <c r="P480" s="363">
        <f t="shared" ca="1" si="221"/>
        <v>23</v>
      </c>
      <c r="Q480" s="357">
        <f t="shared" ca="1" si="222"/>
        <v>0</v>
      </c>
      <c r="R480" s="359">
        <f t="shared" ca="1" si="223"/>
        <v>0</v>
      </c>
      <c r="S480" s="360">
        <f t="shared" ca="1" si="224"/>
        <v>8.6519999999999992</v>
      </c>
      <c r="T480" s="357">
        <f t="shared" ca="1" si="204"/>
        <v>84.87612</v>
      </c>
      <c r="U480" s="364">
        <f t="shared" ca="1" si="205"/>
        <v>0</v>
      </c>
      <c r="V480" s="359">
        <f t="shared" ca="1" si="206"/>
        <v>1.080412313300583</v>
      </c>
      <c r="W480" s="357">
        <f t="shared" ca="1" si="207"/>
        <v>10.655472972543485</v>
      </c>
      <c r="X480" s="343"/>
      <c r="Y480" s="367" t="str">
        <f t="shared" ca="1" si="225"/>
        <v/>
      </c>
      <c r="Z480" s="368" t="str">
        <f t="shared" ca="1" si="226"/>
        <v/>
      </c>
      <c r="AA480" s="369" t="str">
        <f t="shared" ca="1" si="227"/>
        <v/>
      </c>
      <c r="AB480" s="344"/>
      <c r="AC480" s="363" t="e">
        <f t="shared" ca="1" si="228"/>
        <v>#N/A</v>
      </c>
      <c r="AD480" s="376" t="e">
        <f t="shared" ca="1" si="229"/>
        <v>#N/A</v>
      </c>
      <c r="AE480" s="377">
        <f t="shared" ca="1" si="208"/>
        <v>1254.3325622514435</v>
      </c>
      <c r="AF480" s="344"/>
      <c r="AG480" s="359">
        <f t="shared" ca="1" si="230"/>
        <v>-9.9023850578896031</v>
      </c>
      <c r="AH480" s="357">
        <f t="shared" ca="1" si="231"/>
        <v>-1.2694717666244697</v>
      </c>
    </row>
    <row r="481" spans="1:34" x14ac:dyDescent="0.25">
      <c r="A481" s="402">
        <f t="shared" ca="1" si="209"/>
        <v>0.1</v>
      </c>
      <c r="B481" s="357">
        <f t="shared" ca="1" si="210"/>
        <v>11.699999999999932</v>
      </c>
      <c r="C481" s="342"/>
      <c r="D481" s="359">
        <f t="shared" ca="1" si="211"/>
        <v>-0.59256854247466717</v>
      </c>
      <c r="E481" s="360">
        <f t="shared" ca="1" si="212"/>
        <v>-10.889632839950995</v>
      </c>
      <c r="F481" s="357">
        <f t="shared" ca="1" si="213"/>
        <v>10.905743480683457</v>
      </c>
      <c r="G481" s="359">
        <f t="shared" ca="1" si="214"/>
        <v>31.701011686282389</v>
      </c>
      <c r="H481" s="360">
        <f t="shared" ca="1" si="215"/>
        <v>56.7767964791202</v>
      </c>
      <c r="I481" s="357">
        <f t="shared" ca="1" si="216"/>
        <v>65.027369317582341</v>
      </c>
      <c r="J481" s="359">
        <f t="shared" ca="1" si="217"/>
        <v>376.99773513972116</v>
      </c>
      <c r="K481" s="360">
        <f t="shared" ca="1" si="218"/>
        <v>1260.0646900635552</v>
      </c>
      <c r="L481" s="357">
        <f t="shared" ca="1" si="203"/>
        <v>1315.2529473243703</v>
      </c>
      <c r="M481" s="359">
        <f t="shared" ca="1" si="219"/>
        <v>1.0615691761585064</v>
      </c>
      <c r="N481" s="357">
        <f t="shared" ca="1" si="220"/>
        <v>60.823433455062229</v>
      </c>
      <c r="O481" s="343"/>
      <c r="P481" s="363">
        <f t="shared" ca="1" si="221"/>
        <v>23</v>
      </c>
      <c r="Q481" s="357">
        <f t="shared" ca="1" si="222"/>
        <v>0</v>
      </c>
      <c r="R481" s="359">
        <f t="shared" ca="1" si="223"/>
        <v>0</v>
      </c>
      <c r="S481" s="360">
        <f t="shared" ca="1" si="224"/>
        <v>8.6519999999999992</v>
      </c>
      <c r="T481" s="357">
        <f t="shared" ca="1" si="204"/>
        <v>84.87612</v>
      </c>
      <c r="U481" s="364">
        <f t="shared" ca="1" si="205"/>
        <v>0</v>
      </c>
      <c r="V481" s="359">
        <f t="shared" ca="1" si="206"/>
        <v>1.0797907292070201</v>
      </c>
      <c r="W481" s="357">
        <f t="shared" ca="1" si="207"/>
        <v>10.335026207297853</v>
      </c>
      <c r="X481" s="343"/>
      <c r="Y481" s="367" t="str">
        <f t="shared" ca="1" si="225"/>
        <v/>
      </c>
      <c r="Z481" s="368" t="str">
        <f t="shared" ca="1" si="226"/>
        <v/>
      </c>
      <c r="AA481" s="369" t="str">
        <f t="shared" ca="1" si="227"/>
        <v/>
      </c>
      <c r="AB481" s="344"/>
      <c r="AC481" s="363" t="e">
        <f t="shared" ca="1" si="228"/>
        <v>#N/A</v>
      </c>
      <c r="AD481" s="376" t="e">
        <f t="shared" ca="1" si="229"/>
        <v>#N/A</v>
      </c>
      <c r="AE481" s="377">
        <f t="shared" ca="1" si="208"/>
        <v>1260.0646900635552</v>
      </c>
      <c r="AF481" s="344"/>
      <c r="AG481" s="359">
        <f t="shared" ca="1" si="230"/>
        <v>-9.8313721565443224</v>
      </c>
      <c r="AH481" s="357">
        <f t="shared" ca="1" si="231"/>
        <v>-1.2315618322403474</v>
      </c>
    </row>
    <row r="482" spans="1:34" x14ac:dyDescent="0.25">
      <c r="A482" s="402">
        <f t="shared" ca="1" si="209"/>
        <v>0.1</v>
      </c>
      <c r="B482" s="357">
        <f t="shared" ca="1" si="210"/>
        <v>11.799999999999931</v>
      </c>
      <c r="C482" s="342"/>
      <c r="D482" s="359">
        <f t="shared" ca="1" si="211"/>
        <v>-0.58233381399633888</v>
      </c>
      <c r="E482" s="360">
        <f t="shared" ca="1" si="212"/>
        <v>-10.852965087908755</v>
      </c>
      <c r="F482" s="357">
        <f t="shared" ca="1" si="213"/>
        <v>10.868576901797669</v>
      </c>
      <c r="G482" s="359">
        <f t="shared" ca="1" si="214"/>
        <v>31.642778304882754</v>
      </c>
      <c r="H482" s="360">
        <f t="shared" ca="1" si="215"/>
        <v>55.691499970329325</v>
      </c>
      <c r="I482" s="357">
        <f t="shared" ca="1" si="216"/>
        <v>64.053170005840855</v>
      </c>
      <c r="J482" s="359">
        <f t="shared" ca="1" si="217"/>
        <v>380.16492463927943</v>
      </c>
      <c r="K482" s="360">
        <f t="shared" ca="1" si="218"/>
        <v>1265.6881048860278</v>
      </c>
      <c r="L482" s="357">
        <f t="shared" ca="1" si="203"/>
        <v>1321.5489959800859</v>
      </c>
      <c r="M482" s="359">
        <f t="shared" ca="1" si="219"/>
        <v>1.0541028088411206</v>
      </c>
      <c r="N482" s="357">
        <f t="shared" ca="1" si="220"/>
        <v>60.395642119481607</v>
      </c>
      <c r="O482" s="343"/>
      <c r="P482" s="363">
        <f t="shared" ca="1" si="221"/>
        <v>23</v>
      </c>
      <c r="Q482" s="357">
        <f t="shared" ca="1" si="222"/>
        <v>0</v>
      </c>
      <c r="R482" s="359">
        <f t="shared" ca="1" si="223"/>
        <v>0</v>
      </c>
      <c r="S482" s="360">
        <f t="shared" ca="1" si="224"/>
        <v>8.6519999999999992</v>
      </c>
      <c r="T482" s="357">
        <f t="shared" ca="1" si="204"/>
        <v>84.87612</v>
      </c>
      <c r="U482" s="364">
        <f t="shared" ca="1" si="205"/>
        <v>0</v>
      </c>
      <c r="V482" s="359">
        <f t="shared" ca="1" si="206"/>
        <v>1.0791812594223891</v>
      </c>
      <c r="W482" s="357">
        <f t="shared" ca="1" si="207"/>
        <v>10.022020083814569</v>
      </c>
      <c r="X482" s="343"/>
      <c r="Y482" s="367" t="str">
        <f t="shared" ca="1" si="225"/>
        <v/>
      </c>
      <c r="Z482" s="368" t="str">
        <f t="shared" ca="1" si="226"/>
        <v/>
      </c>
      <c r="AA482" s="369" t="str">
        <f t="shared" ca="1" si="227"/>
        <v/>
      </c>
      <c r="AB482" s="344"/>
      <c r="AC482" s="363" t="e">
        <f t="shared" ca="1" si="228"/>
        <v>#N/A</v>
      </c>
      <c r="AD482" s="376" t="e">
        <f t="shared" ca="1" si="229"/>
        <v>#N/A</v>
      </c>
      <c r="AE482" s="377">
        <f t="shared" ca="1" si="208"/>
        <v>1265.6881048860278</v>
      </c>
      <c r="AF482" s="344"/>
      <c r="AG482" s="359">
        <f t="shared" ca="1" si="230"/>
        <v>-9.7598467798143993</v>
      </c>
      <c r="AH482" s="357">
        <f t="shared" ca="1" si="231"/>
        <v>-1.1945245269646156</v>
      </c>
    </row>
    <row r="483" spans="1:34" x14ac:dyDescent="0.25">
      <c r="A483" s="402">
        <f t="shared" ca="1" si="209"/>
        <v>0.1</v>
      </c>
      <c r="B483" s="357">
        <f t="shared" ca="1" si="210"/>
        <v>11.899999999999931</v>
      </c>
      <c r="C483" s="342"/>
      <c r="D483" s="359">
        <f t="shared" ca="1" si="211"/>
        <v>-0.57223278795567756</v>
      </c>
      <c r="E483" s="360">
        <f t="shared" ca="1" si="212"/>
        <v>-10.81713350725393</v>
      </c>
      <c r="F483" s="357">
        <f t="shared" ca="1" si="213"/>
        <v>10.832258660010258</v>
      </c>
      <c r="G483" s="359">
        <f t="shared" ca="1" si="214"/>
        <v>31.585555026087185</v>
      </c>
      <c r="H483" s="360">
        <f t="shared" ca="1" si="215"/>
        <v>54.609786619603931</v>
      </c>
      <c r="I483" s="357">
        <f t="shared" ca="1" si="216"/>
        <v>63.086259050166021</v>
      </c>
      <c r="J483" s="359">
        <f t="shared" ca="1" si="217"/>
        <v>383.32634130582795</v>
      </c>
      <c r="K483" s="360">
        <f t="shared" ca="1" si="218"/>
        <v>1271.2031692155244</v>
      </c>
      <c r="L483" s="357">
        <f t="shared" ca="1" si="203"/>
        <v>1327.7411575162175</v>
      </c>
      <c r="M483" s="359">
        <f t="shared" ca="1" si="219"/>
        <v>1.046420841005103</v>
      </c>
      <c r="N483" s="357">
        <f t="shared" ca="1" si="220"/>
        <v>59.955497784122556</v>
      </c>
      <c r="O483" s="343"/>
      <c r="P483" s="363">
        <f t="shared" ca="1" si="221"/>
        <v>23</v>
      </c>
      <c r="Q483" s="357">
        <f t="shared" ca="1" si="222"/>
        <v>0</v>
      </c>
      <c r="R483" s="359">
        <f t="shared" ca="1" si="223"/>
        <v>0</v>
      </c>
      <c r="S483" s="360">
        <f t="shared" ca="1" si="224"/>
        <v>8.6519999999999992</v>
      </c>
      <c r="T483" s="357">
        <f t="shared" ca="1" si="204"/>
        <v>84.87612</v>
      </c>
      <c r="U483" s="364">
        <f t="shared" ca="1" si="205"/>
        <v>0</v>
      </c>
      <c r="V483" s="359">
        <f t="shared" ca="1" si="206"/>
        <v>1.0785838457372556</v>
      </c>
      <c r="W483" s="357">
        <f t="shared" ca="1" si="207"/>
        <v>9.7163484061442311</v>
      </c>
      <c r="X483" s="343"/>
      <c r="Y483" s="367" t="str">
        <f t="shared" ca="1" si="225"/>
        <v/>
      </c>
      <c r="Z483" s="368" t="str">
        <f t="shared" ca="1" si="226"/>
        <v/>
      </c>
      <c r="AA483" s="369" t="str">
        <f t="shared" ca="1" si="227"/>
        <v/>
      </c>
      <c r="AB483" s="344"/>
      <c r="AC483" s="363" t="e">
        <f t="shared" ca="1" si="228"/>
        <v>#N/A</v>
      </c>
      <c r="AD483" s="376" t="e">
        <f t="shared" ca="1" si="229"/>
        <v>#N/A</v>
      </c>
      <c r="AE483" s="377">
        <f t="shared" ca="1" si="208"/>
        <v>1271.2031692155244</v>
      </c>
      <c r="AF483" s="344"/>
      <c r="AG483" s="359">
        <f t="shared" ca="1" si="230"/>
        <v>-9.6877238954725033</v>
      </c>
      <c r="AH483" s="357">
        <f t="shared" ca="1" si="231"/>
        <v>-1.1583472126461594</v>
      </c>
    </row>
    <row r="484" spans="1:34" x14ac:dyDescent="0.25">
      <c r="A484" s="402">
        <f t="shared" ca="1" si="209"/>
        <v>0.1</v>
      </c>
      <c r="B484" s="357">
        <f t="shared" ca="1" si="210"/>
        <v>11.999999999999931</v>
      </c>
      <c r="C484" s="342"/>
      <c r="D484" s="359">
        <f t="shared" ca="1" si="211"/>
        <v>-0.56226403676736258</v>
      </c>
      <c r="E484" s="360">
        <f t="shared" ca="1" si="212"/>
        <v>-10.782125360671447</v>
      </c>
      <c r="F484" s="357">
        <f t="shared" ca="1" si="213"/>
        <v>10.796775821525438</v>
      </c>
      <c r="G484" s="359">
        <f t="shared" ca="1" si="214"/>
        <v>31.52932862241045</v>
      </c>
      <c r="H484" s="360">
        <f t="shared" ca="1" si="215"/>
        <v>53.531574083536789</v>
      </c>
      <c r="I484" s="357">
        <f t="shared" ca="1" si="216"/>
        <v>62.126709129336142</v>
      </c>
      <c r="J484" s="359">
        <f t="shared" ca="1" si="217"/>
        <v>386.48208548825284</v>
      </c>
      <c r="K484" s="360">
        <f t="shared" ca="1" si="218"/>
        <v>1276.6102372506814</v>
      </c>
      <c r="L484" s="357">
        <f t="shared" ca="1" si="203"/>
        <v>1333.8298618101899</v>
      </c>
      <c r="M484" s="359">
        <f t="shared" ca="1" si="219"/>
        <v>1.0385149846391357</v>
      </c>
      <c r="N484" s="357">
        <f t="shared" ca="1" si="220"/>
        <v>59.502525580915993</v>
      </c>
      <c r="O484" s="343"/>
      <c r="P484" s="363">
        <f t="shared" ca="1" si="221"/>
        <v>23</v>
      </c>
      <c r="Q484" s="357">
        <f t="shared" ca="1" si="222"/>
        <v>0</v>
      </c>
      <c r="R484" s="359">
        <f t="shared" ca="1" si="223"/>
        <v>0</v>
      </c>
      <c r="S484" s="360">
        <f t="shared" ca="1" si="224"/>
        <v>8.6519999999999992</v>
      </c>
      <c r="T484" s="357">
        <f t="shared" ca="1" si="204"/>
        <v>84.87612</v>
      </c>
      <c r="U484" s="364">
        <f t="shared" ca="1" si="205"/>
        <v>0</v>
      </c>
      <c r="V484" s="359">
        <f t="shared" ca="1" si="206"/>
        <v>1.0779984313108173</v>
      </c>
      <c r="W484" s="357">
        <f t="shared" ca="1" si="207"/>
        <v>9.4179080453564037</v>
      </c>
      <c r="X484" s="343"/>
      <c r="Y484" s="367" t="str">
        <f t="shared" ca="1" si="225"/>
        <v/>
      </c>
      <c r="Z484" s="368" t="str">
        <f t="shared" ca="1" si="226"/>
        <v/>
      </c>
      <c r="AA484" s="369" t="str">
        <f t="shared" ca="1" si="227"/>
        <v/>
      </c>
      <c r="AB484" s="344"/>
      <c r="AC484" s="363">
        <f t="shared" ca="1" si="228"/>
        <v>11.999999999999931</v>
      </c>
      <c r="AD484" s="376">
        <f t="shared" ca="1" si="229"/>
        <v>386.48208548825284</v>
      </c>
      <c r="AE484" s="377">
        <f t="shared" ca="1" si="208"/>
        <v>1276.6102372506814</v>
      </c>
      <c r="AF484" s="344"/>
      <c r="AG484" s="359">
        <f t="shared" ca="1" si="230"/>
        <v>-9.6149145005135157</v>
      </c>
      <c r="AH484" s="357">
        <f t="shared" ca="1" si="231"/>
        <v>-1.1230176151345621</v>
      </c>
    </row>
    <row r="485" spans="1:34" x14ac:dyDescent="0.25">
      <c r="A485" s="402">
        <f t="shared" ca="1" si="209"/>
        <v>0.1</v>
      </c>
      <c r="B485" s="357">
        <f t="shared" ca="1" si="210"/>
        <v>12.09999999999993</v>
      </c>
      <c r="C485" s="342"/>
      <c r="D485" s="359">
        <f t="shared" ca="1" si="211"/>
        <v>-0.55242625193025952</v>
      </c>
      <c r="E485" s="360">
        <f t="shared" ca="1" si="212"/>
        <v>-10.747928212333575</v>
      </c>
      <c r="F485" s="357">
        <f t="shared" ca="1" si="213"/>
        <v>10.762115759519487</v>
      </c>
      <c r="G485" s="359">
        <f t="shared" ca="1" si="214"/>
        <v>31.474085997217426</v>
      </c>
      <c r="H485" s="360">
        <f t="shared" ca="1" si="215"/>
        <v>52.45678126230343</v>
      </c>
      <c r="I485" s="357">
        <f t="shared" ca="1" si="216"/>
        <v>61.174602489606634</v>
      </c>
      <c r="J485" s="359">
        <f t="shared" ca="1" si="217"/>
        <v>389.63225621923425</v>
      </c>
      <c r="K485" s="360">
        <f t="shared" ca="1" si="218"/>
        <v>1281.9096550179734</v>
      </c>
      <c r="L485" s="357">
        <f t="shared" ca="1" si="203"/>
        <v>1339.8155315993281</v>
      </c>
      <c r="M485" s="359">
        <f t="shared" ca="1" si="219"/>
        <v>1.0303765848711384</v>
      </c>
      <c r="N485" s="357">
        <f t="shared" ca="1" si="220"/>
        <v>59.036229622219501</v>
      </c>
      <c r="O485" s="343"/>
      <c r="P485" s="363">
        <f t="shared" ca="1" si="221"/>
        <v>23</v>
      </c>
      <c r="Q485" s="357">
        <f t="shared" ca="1" si="222"/>
        <v>0</v>
      </c>
      <c r="R485" s="359">
        <f t="shared" ca="1" si="223"/>
        <v>0</v>
      </c>
      <c r="S485" s="360">
        <f t="shared" ca="1" si="224"/>
        <v>8.6519999999999992</v>
      </c>
      <c r="T485" s="357">
        <f t="shared" ca="1" si="204"/>
        <v>84.87612</v>
      </c>
      <c r="U485" s="364">
        <f t="shared" ca="1" si="205"/>
        <v>0</v>
      </c>
      <c r="V485" s="359">
        <f t="shared" ca="1" si="206"/>
        <v>1.0774249606494544</v>
      </c>
      <c r="W485" s="357">
        <f t="shared" ca="1" si="207"/>
        <v>9.1265988600903043</v>
      </c>
      <c r="X485" s="343"/>
      <c r="Y485" s="367" t="str">
        <f t="shared" ca="1" si="225"/>
        <v/>
      </c>
      <c r="Z485" s="368" t="str">
        <f t="shared" ca="1" si="226"/>
        <v/>
      </c>
      <c r="AA485" s="369" t="str">
        <f t="shared" ca="1" si="227"/>
        <v/>
      </c>
      <c r="AB485" s="344"/>
      <c r="AC485" s="363" t="e">
        <f t="shared" ca="1" si="228"/>
        <v>#N/A</v>
      </c>
      <c r="AD485" s="376" t="e">
        <f t="shared" ca="1" si="229"/>
        <v>#N/A</v>
      </c>
      <c r="AE485" s="377">
        <f t="shared" ca="1" si="208"/>
        <v>1281.9096550179734</v>
      </c>
      <c r="AF485" s="344"/>
      <c r="AG485" s="359">
        <f t="shared" ca="1" si="230"/>
        <v>-9.5413253411795456</v>
      </c>
      <c r="AH485" s="357">
        <f t="shared" ca="1" si="231"/>
        <v>-1.0885238147661125</v>
      </c>
    </row>
    <row r="486" spans="1:34" x14ac:dyDescent="0.25">
      <c r="A486" s="402">
        <f t="shared" ca="1" si="209"/>
        <v>0.1</v>
      </c>
      <c r="B486" s="357">
        <f t="shared" ca="1" si="210"/>
        <v>12.19999999999993</v>
      </c>
      <c r="C486" s="342"/>
      <c r="D486" s="359">
        <f t="shared" ca="1" si="211"/>
        <v>-0.5427182462069241</v>
      </c>
      <c r="E486" s="360">
        <f t="shared" ca="1" si="212"/>
        <v>-10.714529914891079</v>
      </c>
      <c r="F486" s="357">
        <f t="shared" ca="1" si="213"/>
        <v>10.728266140987635</v>
      </c>
      <c r="G486" s="359">
        <f t="shared" ca="1" si="214"/>
        <v>31.419814172596734</v>
      </c>
      <c r="H486" s="360">
        <f t="shared" ca="1" si="215"/>
        <v>51.38532827081432</v>
      </c>
      <c r="I486" s="357">
        <f t="shared" ca="1" si="216"/>
        <v>60.230031414070005</v>
      </c>
      <c r="J486" s="359">
        <f t="shared" ca="1" si="217"/>
        <v>392.77695122772496</v>
      </c>
      <c r="K486" s="360">
        <f t="shared" ca="1" si="218"/>
        <v>1287.1017604946292</v>
      </c>
      <c r="L486" s="357">
        <f t="shared" ca="1" si="203"/>
        <v>1345.698582626927</v>
      </c>
      <c r="M486" s="359">
        <f t="shared" ca="1" si="219"/>
        <v>1.021996605070264</v>
      </c>
      <c r="N486" s="357">
        <f t="shared" ca="1" si="220"/>
        <v>58.556092147224518</v>
      </c>
      <c r="O486" s="343"/>
      <c r="P486" s="363">
        <f t="shared" ca="1" si="221"/>
        <v>23</v>
      </c>
      <c r="Q486" s="357">
        <f t="shared" ca="1" si="222"/>
        <v>0</v>
      </c>
      <c r="R486" s="359">
        <f t="shared" ca="1" si="223"/>
        <v>0</v>
      </c>
      <c r="S486" s="360">
        <f t="shared" ca="1" si="224"/>
        <v>8.6519999999999992</v>
      </c>
      <c r="T486" s="357">
        <f t="shared" ca="1" si="204"/>
        <v>84.87612</v>
      </c>
      <c r="U486" s="364">
        <f t="shared" ca="1" si="205"/>
        <v>0</v>
      </c>
      <c r="V486" s="359">
        <f t="shared" ca="1" si="206"/>
        <v>1.0768633795858471</v>
      </c>
      <c r="W486" s="357">
        <f t="shared" ca="1" si="207"/>
        <v>8.8423236198560158</v>
      </c>
      <c r="X486" s="343"/>
      <c r="Y486" s="367" t="str">
        <f t="shared" ca="1" si="225"/>
        <v/>
      </c>
      <c r="Z486" s="368" t="str">
        <f t="shared" ca="1" si="226"/>
        <v/>
      </c>
      <c r="AA486" s="369" t="str">
        <f t="shared" ca="1" si="227"/>
        <v/>
      </c>
      <c r="AB486" s="344"/>
      <c r="AC486" s="363" t="e">
        <f t="shared" ca="1" si="228"/>
        <v>#N/A</v>
      </c>
      <c r="AD486" s="376" t="e">
        <f t="shared" ca="1" si="229"/>
        <v>#N/A</v>
      </c>
      <c r="AE486" s="377">
        <f t="shared" ca="1" si="208"/>
        <v>1287.1017604946292</v>
      </c>
      <c r="AF486" s="344"/>
      <c r="AG486" s="359">
        <f t="shared" ca="1" si="230"/>
        <v>-9.4668586187481356</v>
      </c>
      <c r="AH486" s="357">
        <f t="shared" ca="1" si="231"/>
        <v>-1.0548542371810339</v>
      </c>
    </row>
    <row r="487" spans="1:34" x14ac:dyDescent="0.25">
      <c r="A487" s="402">
        <f t="shared" ca="1" si="209"/>
        <v>0.1</v>
      </c>
      <c r="B487" s="357">
        <f t="shared" ca="1" si="210"/>
        <v>12.29999999999993</v>
      </c>
      <c r="C487" s="342"/>
      <c r="D487" s="359">
        <f t="shared" ca="1" si="211"/>
        <v>-0.53313895609591677</v>
      </c>
      <c r="E487" s="360">
        <f t="shared" ca="1" si="212"/>
        <v>-10.681918596413642</v>
      </c>
      <c r="F487" s="357">
        <f t="shared" ca="1" si="213"/>
        <v>10.695214913544964</v>
      </c>
      <c r="G487" s="359">
        <f t="shared" ca="1" si="214"/>
        <v>31.366500276987143</v>
      </c>
      <c r="H487" s="360">
        <f t="shared" ca="1" si="215"/>
        <v>50.317136411172953</v>
      </c>
      <c r="I487" s="357">
        <f t="shared" ca="1" si="216"/>
        <v>59.293098723602071</v>
      </c>
      <c r="J487" s="359">
        <f t="shared" ca="1" si="217"/>
        <v>395.91626695020415</v>
      </c>
      <c r="K487" s="360">
        <f t="shared" ca="1" si="218"/>
        <v>1292.1868837287286</v>
      </c>
      <c r="L487" s="357">
        <f t="shared" ca="1" si="203"/>
        <v>1351.4794237857816</v>
      </c>
      <c r="M487" s="359">
        <f t="shared" ca="1" si="219"/>
        <v>1.013365611873966</v>
      </c>
      <c r="N487" s="357">
        <f t="shared" ca="1" si="220"/>
        <v>58.061572664070518</v>
      </c>
      <c r="O487" s="343"/>
      <c r="P487" s="363">
        <f t="shared" ca="1" si="221"/>
        <v>23</v>
      </c>
      <c r="Q487" s="357">
        <f t="shared" ca="1" si="222"/>
        <v>0</v>
      </c>
      <c r="R487" s="359">
        <f t="shared" ca="1" si="223"/>
        <v>0</v>
      </c>
      <c r="S487" s="360">
        <f t="shared" ca="1" si="224"/>
        <v>8.6519999999999992</v>
      </c>
      <c r="T487" s="357">
        <f t="shared" ca="1" si="204"/>
        <v>84.87612</v>
      </c>
      <c r="U487" s="364">
        <f t="shared" ca="1" si="205"/>
        <v>0</v>
      </c>
      <c r="V487" s="359">
        <f t="shared" ca="1" si="206"/>
        <v>1.0763136352586355</v>
      </c>
      <c r="W487" s="357">
        <f t="shared" ca="1" si="207"/>
        <v>8.5649879309747181</v>
      </c>
      <c r="X487" s="343"/>
      <c r="Y487" s="367" t="str">
        <f t="shared" ca="1" si="225"/>
        <v/>
      </c>
      <c r="Z487" s="368" t="str">
        <f t="shared" ca="1" si="226"/>
        <v/>
      </c>
      <c r="AA487" s="369" t="str">
        <f t="shared" ca="1" si="227"/>
        <v/>
      </c>
      <c r="AB487" s="344"/>
      <c r="AC487" s="363" t="e">
        <f t="shared" ca="1" si="228"/>
        <v>#N/A</v>
      </c>
      <c r="AD487" s="376" t="e">
        <f t="shared" ca="1" si="229"/>
        <v>#N/A</v>
      </c>
      <c r="AE487" s="377">
        <f t="shared" ca="1" si="208"/>
        <v>1292.1868837287286</v>
      </c>
      <c r="AF487" s="344"/>
      <c r="AG487" s="359">
        <f t="shared" ca="1" si="230"/>
        <v>-9.3914116809741497</v>
      </c>
      <c r="AH487" s="357">
        <f t="shared" ca="1" si="231"/>
        <v>-1.0219976444586243</v>
      </c>
    </row>
    <row r="488" spans="1:34" x14ac:dyDescent="0.25">
      <c r="A488" s="402">
        <f t="shared" ca="1" si="209"/>
        <v>0.1</v>
      </c>
      <c r="B488" s="357">
        <f t="shared" ca="1" si="210"/>
        <v>12.399999999999929</v>
      </c>
      <c r="C488" s="342"/>
      <c r="D488" s="359">
        <f t="shared" ca="1" si="211"/>
        <v>-0.52368744460650773</v>
      </c>
      <c r="E488" s="360">
        <f t="shared" ca="1" si="212"/>
        <v>-10.650082647231669</v>
      </c>
      <c r="F488" s="357">
        <f t="shared" ca="1" si="213"/>
        <v>10.662950292133205</v>
      </c>
      <c r="G488" s="359">
        <f t="shared" ca="1" si="214"/>
        <v>31.314131532526492</v>
      </c>
      <c r="H488" s="360">
        <f t="shared" ca="1" si="215"/>
        <v>49.252128146449785</v>
      </c>
      <c r="I488" s="357">
        <f t="shared" ca="1" si="216"/>
        <v>58.363918310808103</v>
      </c>
      <c r="J488" s="359">
        <f t="shared" ca="1" si="217"/>
        <v>399.05029854067982</v>
      </c>
      <c r="K488" s="360">
        <f t="shared" ca="1" si="218"/>
        <v>1297.1653469566097</v>
      </c>
      <c r="L488" s="357">
        <f t="shared" ca="1" si="203"/>
        <v>1357.158457259309</v>
      </c>
      <c r="M488" s="359">
        <f t="shared" ca="1" si="219"/>
        <v>1.0044737602598197</v>
      </c>
      <c r="N488" s="357">
        <f t="shared" ca="1" si="220"/>
        <v>57.552107094523343</v>
      </c>
      <c r="O488" s="343"/>
      <c r="P488" s="363">
        <f t="shared" ca="1" si="221"/>
        <v>23</v>
      </c>
      <c r="Q488" s="357">
        <f t="shared" ca="1" si="222"/>
        <v>0</v>
      </c>
      <c r="R488" s="359">
        <f t="shared" ca="1" si="223"/>
        <v>0</v>
      </c>
      <c r="S488" s="360">
        <f t="shared" ca="1" si="224"/>
        <v>8.6519999999999992</v>
      </c>
      <c r="T488" s="357">
        <f t="shared" ca="1" si="204"/>
        <v>84.87612</v>
      </c>
      <c r="U488" s="364">
        <f t="shared" ca="1" si="205"/>
        <v>0</v>
      </c>
      <c r="V488" s="359">
        <f t="shared" ca="1" si="206"/>
        <v>1.0757756760926009</v>
      </c>
      <c r="W488" s="357">
        <f t="shared" ca="1" si="207"/>
        <v>8.2945001650505521</v>
      </c>
      <c r="X488" s="343"/>
      <c r="Y488" s="367" t="str">
        <f t="shared" ca="1" si="225"/>
        <v/>
      </c>
      <c r="Z488" s="368" t="str">
        <f t="shared" ca="1" si="226"/>
        <v/>
      </c>
      <c r="AA488" s="369" t="str">
        <f t="shared" ca="1" si="227"/>
        <v/>
      </c>
      <c r="AB488" s="344"/>
      <c r="AC488" s="363" t="e">
        <f t="shared" ca="1" si="228"/>
        <v>#N/A</v>
      </c>
      <c r="AD488" s="376" t="e">
        <f t="shared" ca="1" si="229"/>
        <v>#N/A</v>
      </c>
      <c r="AE488" s="377">
        <f t="shared" ca="1" si="208"/>
        <v>1297.1653469566097</v>
      </c>
      <c r="AF488" s="344"/>
      <c r="AG488" s="359">
        <f t="shared" ca="1" si="230"/>
        <v>-9.3148766992586953</v>
      </c>
      <c r="AH488" s="357">
        <f t="shared" ca="1" si="231"/>
        <v>-0.9899431265574109</v>
      </c>
    </row>
    <row r="489" spans="1:34" x14ac:dyDescent="0.25">
      <c r="A489" s="402">
        <f t="shared" ca="1" si="209"/>
        <v>0.1</v>
      </c>
      <c r="B489" s="357">
        <f t="shared" ca="1" si="210"/>
        <v>12.499999999999929</v>
      </c>
      <c r="C489" s="342"/>
      <c r="D489" s="359">
        <f t="shared" ca="1" si="211"/>
        <v>-0.51436290434526621</v>
      </c>
      <c r="E489" s="360">
        <f t="shared" ca="1" si="212"/>
        <v>-10.619010706628695</v>
      </c>
      <c r="F489" s="357">
        <f t="shared" ca="1" si="213"/>
        <v>10.631460745582487</v>
      </c>
      <c r="G489" s="359">
        <f t="shared" ca="1" si="214"/>
        <v>31.262695242091965</v>
      </c>
      <c r="H489" s="360">
        <f t="shared" ca="1" si="215"/>
        <v>48.190227075786915</v>
      </c>
      <c r="I489" s="357">
        <f t="shared" ca="1" si="216"/>
        <v>57.442615708338231</v>
      </c>
      <c r="J489" s="359">
        <f t="shared" ca="1" si="217"/>
        <v>402.17913987941074</v>
      </c>
      <c r="K489" s="360">
        <f t="shared" ca="1" si="218"/>
        <v>1302.0374647177216</v>
      </c>
      <c r="L489" s="357">
        <f t="shared" ca="1" si="203"/>
        <v>1362.7360786603892</v>
      </c>
      <c r="M489" s="359">
        <f t="shared" ca="1" si="219"/>
        <v>0.99531077880790841</v>
      </c>
      <c r="N489" s="357">
        <f t="shared" ca="1" si="220"/>
        <v>57.02710692957217</v>
      </c>
      <c r="O489" s="343"/>
      <c r="P489" s="363">
        <f t="shared" ca="1" si="221"/>
        <v>23</v>
      </c>
      <c r="Q489" s="357">
        <f t="shared" ca="1" si="222"/>
        <v>0</v>
      </c>
      <c r="R489" s="359">
        <f t="shared" ca="1" si="223"/>
        <v>0</v>
      </c>
      <c r="S489" s="360">
        <f t="shared" ca="1" si="224"/>
        <v>8.6519999999999992</v>
      </c>
      <c r="T489" s="357">
        <f t="shared" ca="1" si="204"/>
        <v>84.87612</v>
      </c>
      <c r="U489" s="364">
        <f t="shared" ca="1" si="205"/>
        <v>0</v>
      </c>
      <c r="V489" s="359">
        <f t="shared" ca="1" si="206"/>
        <v>1.0752494517793445</v>
      </c>
      <c r="W489" s="357">
        <f t="shared" ca="1" si="207"/>
        <v>8.0307713898700879</v>
      </c>
      <c r="X489" s="343"/>
      <c r="Y489" s="367" t="str">
        <f t="shared" ca="1" si="225"/>
        <v/>
      </c>
      <c r="Z489" s="368" t="str">
        <f t="shared" ca="1" si="226"/>
        <v/>
      </c>
      <c r="AA489" s="369" t="str">
        <f t="shared" ca="1" si="227"/>
        <v/>
      </c>
      <c r="AB489" s="344"/>
      <c r="AC489" s="363" t="e">
        <f t="shared" ca="1" si="228"/>
        <v>#N/A</v>
      </c>
      <c r="AD489" s="376" t="e">
        <f t="shared" ca="1" si="229"/>
        <v>#N/A</v>
      </c>
      <c r="AE489" s="377">
        <f t="shared" ca="1" si="208"/>
        <v>1302.0374647177216</v>
      </c>
      <c r="AF489" s="344"/>
      <c r="AG489" s="359">
        <f t="shared" ca="1" si="230"/>
        <v>-9.2371403318492202</v>
      </c>
      <c r="AH489" s="357">
        <f t="shared" ca="1" si="231"/>
        <v>-0.95868009304791413</v>
      </c>
    </row>
    <row r="490" spans="1:34" x14ac:dyDescent="0.25">
      <c r="A490" s="402">
        <f t="shared" ca="1" si="209"/>
        <v>0.1</v>
      </c>
      <c r="B490" s="357">
        <f t="shared" ca="1" si="210"/>
        <v>12.599999999999929</v>
      </c>
      <c r="C490" s="342"/>
      <c r="D490" s="359">
        <f t="shared" ca="1" si="211"/>
        <v>-0.50516466092368784</v>
      </c>
      <c r="E490" s="360">
        <f t="shared" ca="1" si="212"/>
        <v>-10.588691649330311</v>
      </c>
      <c r="F490" s="357">
        <f t="shared" ca="1" si="213"/>
        <v>10.600734982973757</v>
      </c>
      <c r="G490" s="359">
        <f t="shared" ca="1" si="214"/>
        <v>31.212178775999597</v>
      </c>
      <c r="H490" s="360">
        <f t="shared" ca="1" si="215"/>
        <v>47.131357910853886</v>
      </c>
      <c r="I490" s="357">
        <f t="shared" ca="1" si="216"/>
        <v>56.529328692864986</v>
      </c>
      <c r="J490" s="359">
        <f t="shared" ca="1" si="217"/>
        <v>405.30288358031532</v>
      </c>
      <c r="K490" s="360">
        <f t="shared" ca="1" si="218"/>
        <v>1306.8035439670537</v>
      </c>
      <c r="L490" s="357">
        <f t="shared" ca="1" si="203"/>
        <v>1368.2126771680526</v>
      </c>
      <c r="M490" s="359">
        <f t="shared" ca="1" si="219"/>
        <v>0.98586595532993937</v>
      </c>
      <c r="N490" s="357">
        <f t="shared" ca="1" si="220"/>
        <v>56.485958406038471</v>
      </c>
      <c r="O490" s="343"/>
      <c r="P490" s="363">
        <f t="shared" ca="1" si="221"/>
        <v>23</v>
      </c>
      <c r="Q490" s="357">
        <f t="shared" ca="1" si="222"/>
        <v>0</v>
      </c>
      <c r="R490" s="359">
        <f t="shared" ca="1" si="223"/>
        <v>0</v>
      </c>
      <c r="S490" s="360">
        <f t="shared" ca="1" si="224"/>
        <v>8.6519999999999992</v>
      </c>
      <c r="T490" s="357">
        <f t="shared" ca="1" si="204"/>
        <v>84.87612</v>
      </c>
      <c r="U490" s="364">
        <f t="shared" ca="1" si="205"/>
        <v>0</v>
      </c>
      <c r="V490" s="359">
        <f t="shared" ca="1" si="206"/>
        <v>1.0747349132584545</v>
      </c>
      <c r="W490" s="357">
        <f t="shared" ca="1" si="207"/>
        <v>7.7737153026288333</v>
      </c>
      <c r="X490" s="343"/>
      <c r="Y490" s="367" t="str">
        <f t="shared" ca="1" si="225"/>
        <v/>
      </c>
      <c r="Z490" s="368" t="str">
        <f t="shared" ca="1" si="226"/>
        <v/>
      </c>
      <c r="AA490" s="369" t="str">
        <f t="shared" ca="1" si="227"/>
        <v/>
      </c>
      <c r="AB490" s="344"/>
      <c r="AC490" s="363" t="e">
        <f t="shared" ca="1" si="228"/>
        <v>#N/A</v>
      </c>
      <c r="AD490" s="376" t="e">
        <f t="shared" ca="1" si="229"/>
        <v>#N/A</v>
      </c>
      <c r="AE490" s="377">
        <f t="shared" ca="1" si="208"/>
        <v>1306.8035439670537</v>
      </c>
      <c r="AF490" s="344"/>
      <c r="AG490" s="359">
        <f t="shared" ca="1" si="230"/>
        <v>-9.1580833736630503</v>
      </c>
      <c r="AH490" s="357">
        <f t="shared" ca="1" si="231"/>
        <v>-0.92819826512599268</v>
      </c>
    </row>
    <row r="491" spans="1:34" x14ac:dyDescent="0.25">
      <c r="A491" s="402">
        <f t="shared" ca="1" si="209"/>
        <v>0.1</v>
      </c>
      <c r="B491" s="357">
        <f t="shared" ca="1" si="210"/>
        <v>12.699999999999928</v>
      </c>
      <c r="C491" s="342"/>
      <c r="D491" s="359">
        <f t="shared" ca="1" si="211"/>
        <v>-0.49609217669542188</v>
      </c>
      <c r="E491" s="360">
        <f t="shared" ca="1" si="212"/>
        <v>-10.55911457173203</v>
      </c>
      <c r="F491" s="357">
        <f t="shared" ca="1" si="213"/>
        <v>10.570761939744083</v>
      </c>
      <c r="G491" s="359">
        <f t="shared" ca="1" si="214"/>
        <v>31.162569558330055</v>
      </c>
      <c r="H491" s="360">
        <f t="shared" ca="1" si="215"/>
        <v>46.075446453680684</v>
      </c>
      <c r="I491" s="357">
        <f t="shared" ca="1" si="216"/>
        <v>55.624207925899988</v>
      </c>
      <c r="J491" s="359">
        <f t="shared" ca="1" si="217"/>
        <v>408.42162099703182</v>
      </c>
      <c r="K491" s="360">
        <f t="shared" ca="1" si="218"/>
        <v>1311.4638841852804</v>
      </c>
      <c r="L491" s="357">
        <f t="shared" ca="1" si="203"/>
        <v>1373.5886356621425</v>
      </c>
      <c r="M491" s="359">
        <f t="shared" ca="1" si="219"/>
        <v>0.97612812307636487</v>
      </c>
      <c r="N491" s="357">
        <f t="shared" ca="1" si="220"/>
        <v>55.92802171630229</v>
      </c>
      <c r="O491" s="343"/>
      <c r="P491" s="363">
        <f t="shared" ca="1" si="221"/>
        <v>23</v>
      </c>
      <c r="Q491" s="357">
        <f t="shared" ca="1" si="222"/>
        <v>0</v>
      </c>
      <c r="R491" s="359">
        <f t="shared" ca="1" si="223"/>
        <v>0</v>
      </c>
      <c r="S491" s="360">
        <f t="shared" ca="1" si="224"/>
        <v>8.6519999999999992</v>
      </c>
      <c r="T491" s="357">
        <f t="shared" ca="1" si="204"/>
        <v>84.87612</v>
      </c>
      <c r="U491" s="364">
        <f t="shared" ca="1" si="205"/>
        <v>0</v>
      </c>
      <c r="V491" s="359">
        <f t="shared" ca="1" si="206"/>
        <v>1.0742320126991236</v>
      </c>
      <c r="W491" s="357">
        <f t="shared" ca="1" si="207"/>
        <v>7.5232481653869412</v>
      </c>
      <c r="X491" s="343"/>
      <c r="Y491" s="367" t="str">
        <f t="shared" ca="1" si="225"/>
        <v/>
      </c>
      <c r="Z491" s="368" t="str">
        <f t="shared" ca="1" si="226"/>
        <v/>
      </c>
      <c r="AA491" s="369" t="str">
        <f t="shared" ca="1" si="227"/>
        <v/>
      </c>
      <c r="AB491" s="344"/>
      <c r="AC491" s="363" t="e">
        <f t="shared" ca="1" si="228"/>
        <v>#N/A</v>
      </c>
      <c r="AD491" s="376" t="e">
        <f t="shared" ca="1" si="229"/>
        <v>#N/A</v>
      </c>
      <c r="AE491" s="377">
        <f t="shared" ca="1" si="208"/>
        <v>1311.4638841852804</v>
      </c>
      <c r="AF491" s="344"/>
      <c r="AG491" s="359">
        <f t="shared" ca="1" si="230"/>
        <v>-9.0775803936828989</v>
      </c>
      <c r="AH491" s="357">
        <f t="shared" ca="1" si="231"/>
        <v>-0.89848766789514956</v>
      </c>
    </row>
    <row r="492" spans="1:34" x14ac:dyDescent="0.25">
      <c r="A492" s="402">
        <f t="shared" ca="1" si="209"/>
        <v>0.1</v>
      </c>
      <c r="B492" s="357">
        <f t="shared" ca="1" si="210"/>
        <v>12.799999999999928</v>
      </c>
      <c r="C492" s="342"/>
      <c r="D492" s="359">
        <f t="shared" ca="1" si="211"/>
        <v>-0.48714505483072118</v>
      </c>
      <c r="E492" s="360">
        <f t="shared" ca="1" si="212"/>
        <v>-10.530268777804569</v>
      </c>
      <c r="F492" s="357">
        <f t="shared" ca="1" si="213"/>
        <v>10.541530763473196</v>
      </c>
      <c r="G492" s="359">
        <f t="shared" ca="1" si="214"/>
        <v>31.113855052846983</v>
      </c>
      <c r="H492" s="360">
        <f t="shared" ca="1" si="215"/>
        <v>45.02241957590023</v>
      </c>
      <c r="I492" s="357">
        <f t="shared" ca="1" si="216"/>
        <v>54.727417632462583</v>
      </c>
      <c r="J492" s="359">
        <f t="shared" ca="1" si="217"/>
        <v>411.53544222759069</v>
      </c>
      <c r="K492" s="360">
        <f t="shared" ca="1" si="218"/>
        <v>1316.0187774867595</v>
      </c>
      <c r="L492" s="357">
        <f t="shared" ca="1" si="203"/>
        <v>1378.8643308560866</v>
      </c>
      <c r="M492" s="359">
        <f t="shared" ca="1" si="219"/>
        <v>0.96608564777326122</v>
      </c>
      <c r="N492" s="357">
        <f t="shared" ca="1" si="220"/>
        <v>55.352630265570085</v>
      </c>
      <c r="O492" s="343"/>
      <c r="P492" s="363">
        <f t="shared" ca="1" si="221"/>
        <v>23</v>
      </c>
      <c r="Q492" s="357">
        <f t="shared" ca="1" si="222"/>
        <v>0</v>
      </c>
      <c r="R492" s="359">
        <f t="shared" ca="1" si="223"/>
        <v>0</v>
      </c>
      <c r="S492" s="360">
        <f t="shared" ca="1" si="224"/>
        <v>8.6519999999999992</v>
      </c>
      <c r="T492" s="357">
        <f t="shared" ca="1" si="204"/>
        <v>84.87612</v>
      </c>
      <c r="U492" s="364">
        <f t="shared" ca="1" si="205"/>
        <v>0</v>
      </c>
      <c r="V492" s="359">
        <f t="shared" ca="1" si="206"/>
        <v>1.0737407034822142</v>
      </c>
      <c r="W492" s="357">
        <f t="shared" ca="1" si="207"/>
        <v>7.2792887426592765</v>
      </c>
      <c r="X492" s="343"/>
      <c r="Y492" s="367" t="str">
        <f t="shared" ca="1" si="225"/>
        <v/>
      </c>
      <c r="Z492" s="368" t="str">
        <f t="shared" ca="1" si="226"/>
        <v/>
      </c>
      <c r="AA492" s="369" t="str">
        <f t="shared" ca="1" si="227"/>
        <v/>
      </c>
      <c r="AB492" s="344"/>
      <c r="AC492" s="363" t="e">
        <f t="shared" ca="1" si="228"/>
        <v>#N/A</v>
      </c>
      <c r="AD492" s="376" t="e">
        <f t="shared" ca="1" si="229"/>
        <v>#N/A</v>
      </c>
      <c r="AE492" s="377">
        <f t="shared" ca="1" si="208"/>
        <v>1316.0187774867595</v>
      </c>
      <c r="AF492" s="344"/>
      <c r="AG492" s="359">
        <f t="shared" ca="1" si="230"/>
        <v>-8.9954993613091165</v>
      </c>
      <c r="AH492" s="357">
        <f t="shared" ca="1" si="231"/>
        <v>-0.86953862290648887</v>
      </c>
    </row>
    <row r="493" spans="1:34" x14ac:dyDescent="0.25">
      <c r="A493" s="402">
        <f t="shared" ca="1" si="209"/>
        <v>0.1</v>
      </c>
      <c r="B493" s="357">
        <f t="shared" ca="1" si="210"/>
        <v>12.899999999999928</v>
      </c>
      <c r="C493" s="342"/>
      <c r="D493" s="359">
        <f t="shared" ca="1" si="211"/>
        <v>-0.47832304373441414</v>
      </c>
      <c r="E493" s="360">
        <f t="shared" ca="1" si="212"/>
        <v>-10.502143764610807</v>
      </c>
      <c r="F493" s="357">
        <f t="shared" ca="1" si="213"/>
        <v>10.513030799285286</v>
      </c>
      <c r="G493" s="359">
        <f t="shared" ca="1" si="214"/>
        <v>31.066022748473543</v>
      </c>
      <c r="H493" s="360">
        <f t="shared" ca="1" si="215"/>
        <v>43.972205199439152</v>
      </c>
      <c r="I493" s="357">
        <f t="shared" ca="1" si="216"/>
        <v>53.839136318390729</v>
      </c>
      <c r="J493" s="359">
        <f t="shared" ca="1" si="217"/>
        <v>414.64443611765671</v>
      </c>
      <c r="K493" s="360">
        <f t="shared" ca="1" si="218"/>
        <v>1320.4685087255266</v>
      </c>
      <c r="L493" s="357">
        <f t="shared" ca="1" si="203"/>
        <v>1384.0401334279095</v>
      </c>
      <c r="M493" s="359">
        <f t="shared" ca="1" si="219"/>
        <v>0.95572641578718165</v>
      </c>
      <c r="N493" s="357">
        <f t="shared" ca="1" si="220"/>
        <v>54.7590899937708</v>
      </c>
      <c r="O493" s="343"/>
      <c r="P493" s="363">
        <f t="shared" ca="1" si="221"/>
        <v>23</v>
      </c>
      <c r="Q493" s="357">
        <f t="shared" ca="1" si="222"/>
        <v>0</v>
      </c>
      <c r="R493" s="359">
        <f t="shared" ca="1" si="223"/>
        <v>0</v>
      </c>
      <c r="S493" s="360">
        <f t="shared" ca="1" si="224"/>
        <v>8.6519999999999992</v>
      </c>
      <c r="T493" s="357">
        <f t="shared" ca="1" si="204"/>
        <v>84.87612</v>
      </c>
      <c r="U493" s="364">
        <f t="shared" ca="1" si="205"/>
        <v>0</v>
      </c>
      <c r="V493" s="359">
        <f t="shared" ca="1" si="206"/>
        <v>1.0732609401827384</v>
      </c>
      <c r="W493" s="357">
        <f t="shared" ca="1" si="207"/>
        <v>7.041758241047221</v>
      </c>
      <c r="X493" s="343"/>
      <c r="Y493" s="367" t="str">
        <f t="shared" ca="1" si="225"/>
        <v/>
      </c>
      <c r="Z493" s="368" t="str">
        <f t="shared" ca="1" si="226"/>
        <v/>
      </c>
      <c r="AA493" s="369" t="str">
        <f t="shared" ca="1" si="227"/>
        <v/>
      </c>
      <c r="AB493" s="344"/>
      <c r="AC493" s="363" t="e">
        <f t="shared" ca="1" si="228"/>
        <v>#N/A</v>
      </c>
      <c r="AD493" s="376" t="e">
        <f t="shared" ca="1" si="229"/>
        <v>#N/A</v>
      </c>
      <c r="AE493" s="377">
        <f t="shared" ca="1" si="208"/>
        <v>1320.4685087255266</v>
      </c>
      <c r="AF493" s="344"/>
      <c r="AG493" s="359">
        <f t="shared" ca="1" si="230"/>
        <v>-8.9117012635842787</v>
      </c>
      <c r="AH493" s="357">
        <f t="shared" ca="1" si="231"/>
        <v>-0.84134174094536263</v>
      </c>
    </row>
    <row r="494" spans="1:34" x14ac:dyDescent="0.25">
      <c r="A494" s="402">
        <f t="shared" ca="1" si="209"/>
        <v>0.1</v>
      </c>
      <c r="B494" s="357">
        <f t="shared" ca="1" si="210"/>
        <v>12.999999999999927</v>
      </c>
      <c r="C494" s="342"/>
      <c r="D494" s="359">
        <f t="shared" ca="1" si="211"/>
        <v>-0.46962604181186596</v>
      </c>
      <c r="E494" s="360">
        <f t="shared" ca="1" si="212"/>
        <v>-10.474729207364224</v>
      </c>
      <c r="F494" s="357">
        <f t="shared" ca="1" si="213"/>
        <v>10.485251574795763</v>
      </c>
      <c r="G494" s="359">
        <f t="shared" ca="1" si="214"/>
        <v>31.019060144292357</v>
      </c>
      <c r="H494" s="360">
        <f t="shared" ca="1" si="215"/>
        <v>42.924732278702727</v>
      </c>
      <c r="I494" s="357">
        <f t="shared" ca="1" si="216"/>
        <v>52.959557526791428</v>
      </c>
      <c r="J494" s="359">
        <f t="shared" ca="1" si="217"/>
        <v>417.74869026229499</v>
      </c>
      <c r="K494" s="360">
        <f t="shared" ca="1" si="218"/>
        <v>1324.8133555994336</v>
      </c>
      <c r="L494" s="357">
        <f t="shared" ca="1" si="203"/>
        <v>1389.1164081496174</v>
      </c>
      <c r="M494" s="359">
        <f t="shared" ca="1" si="219"/>
        <v>0.94503782376929257</v>
      </c>
      <c r="N494" s="357">
        <f t="shared" ca="1" si="220"/>
        <v>54.146678782208539</v>
      </c>
      <c r="O494" s="343"/>
      <c r="P494" s="363">
        <f t="shared" ca="1" si="221"/>
        <v>23</v>
      </c>
      <c r="Q494" s="357">
        <f t="shared" ca="1" si="222"/>
        <v>0</v>
      </c>
      <c r="R494" s="359">
        <f t="shared" ca="1" si="223"/>
        <v>0</v>
      </c>
      <c r="S494" s="360">
        <f t="shared" ca="1" si="224"/>
        <v>8.6519999999999992</v>
      </c>
      <c r="T494" s="357">
        <f t="shared" ca="1" si="204"/>
        <v>84.87612</v>
      </c>
      <c r="U494" s="364">
        <f t="shared" ca="1" si="205"/>
        <v>0</v>
      </c>
      <c r="V494" s="359">
        <f t="shared" ca="1" si="206"/>
        <v>1.0727926785527369</v>
      </c>
      <c r="W494" s="357">
        <f t="shared" ca="1" si="207"/>
        <v>6.8105802508218272</v>
      </c>
      <c r="X494" s="343"/>
      <c r="Y494" s="367" t="str">
        <f t="shared" ca="1" si="225"/>
        <v/>
      </c>
      <c r="Z494" s="368" t="str">
        <f t="shared" ca="1" si="226"/>
        <v/>
      </c>
      <c r="AA494" s="369" t="str">
        <f t="shared" ca="1" si="227"/>
        <v/>
      </c>
      <c r="AB494" s="344"/>
      <c r="AC494" s="363">
        <f t="shared" ca="1" si="228"/>
        <v>12.999999999999927</v>
      </c>
      <c r="AD494" s="376">
        <f t="shared" ca="1" si="229"/>
        <v>417.74869026229499</v>
      </c>
      <c r="AE494" s="377">
        <f t="shared" ca="1" si="208"/>
        <v>1324.8133555994336</v>
      </c>
      <c r="AF494" s="344"/>
      <c r="AG494" s="359">
        <f t="shared" ca="1" si="230"/>
        <v>-8.8260397158463348</v>
      </c>
      <c r="AH494" s="357">
        <f t="shared" ca="1" si="231"/>
        <v>-0.8138879150540016</v>
      </c>
    </row>
    <row r="495" spans="1:34" x14ac:dyDescent="0.25">
      <c r="A495" s="402">
        <f t="shared" ca="1" si="209"/>
        <v>0.1</v>
      </c>
      <c r="B495" s="357">
        <f t="shared" ca="1" si="210"/>
        <v>13.099999999999927</v>
      </c>
      <c r="C495" s="342"/>
      <c r="D495" s="359">
        <f t="shared" ca="1" si="211"/>
        <v>-0.46105410258499474</v>
      </c>
      <c r="E495" s="360">
        <f t="shared" ca="1" si="212"/>
        <v>-10.448014943953742</v>
      </c>
      <c r="F495" s="357">
        <f t="shared" ca="1" si="213"/>
        <v>10.458182784527683</v>
      </c>
      <c r="G495" s="359">
        <f t="shared" ca="1" si="214"/>
        <v>30.972954734033859</v>
      </c>
      <c r="H495" s="360">
        <f t="shared" ca="1" si="215"/>
        <v>41.879930784307355</v>
      </c>
      <c r="I495" s="357">
        <f t="shared" ca="1" si="216"/>
        <v>52.08889063375112</v>
      </c>
      <c r="J495" s="359">
        <f t="shared" ca="1" si="217"/>
        <v>420.8482910062113</v>
      </c>
      <c r="K495" s="360">
        <f t="shared" ca="1" si="218"/>
        <v>1329.0535887525841</v>
      </c>
      <c r="L495" s="357">
        <f t="shared" ca="1" si="203"/>
        <v>1394.0935140151007</v>
      </c>
      <c r="M495" s="359">
        <f t="shared" ca="1" si="219"/>
        <v>0.93400677019049227</v>
      </c>
      <c r="N495" s="357">
        <f t="shared" ca="1" si="220"/>
        <v>53.514645968560593</v>
      </c>
      <c r="O495" s="343"/>
      <c r="P495" s="363">
        <f t="shared" ca="1" si="221"/>
        <v>23</v>
      </c>
      <c r="Q495" s="357">
        <f t="shared" ca="1" si="222"/>
        <v>0</v>
      </c>
      <c r="R495" s="359">
        <f t="shared" ca="1" si="223"/>
        <v>0</v>
      </c>
      <c r="S495" s="360">
        <f t="shared" ca="1" si="224"/>
        <v>8.6519999999999992</v>
      </c>
      <c r="T495" s="357">
        <f t="shared" ca="1" si="204"/>
        <v>84.87612</v>
      </c>
      <c r="U495" s="364">
        <f t="shared" ca="1" si="205"/>
        <v>0</v>
      </c>
      <c r="V495" s="359">
        <f t="shared" ca="1" si="206"/>
        <v>1.0723358755045322</v>
      </c>
      <c r="W495" s="357">
        <f t="shared" ca="1" si="207"/>
        <v>6.5856806893698323</v>
      </c>
      <c r="X495" s="343"/>
      <c r="Y495" s="367" t="str">
        <f t="shared" ca="1" si="225"/>
        <v/>
      </c>
      <c r="Z495" s="368" t="str">
        <f t="shared" ca="1" si="226"/>
        <v/>
      </c>
      <c r="AA495" s="369" t="str">
        <f t="shared" ca="1" si="227"/>
        <v/>
      </c>
      <c r="AB495" s="344"/>
      <c r="AC495" s="363" t="e">
        <f t="shared" ca="1" si="228"/>
        <v>#N/A</v>
      </c>
      <c r="AD495" s="376" t="e">
        <f t="shared" ca="1" si="229"/>
        <v>#N/A</v>
      </c>
      <c r="AE495" s="377">
        <f t="shared" ca="1" si="208"/>
        <v>1329.0535887525841</v>
      </c>
      <c r="AF495" s="344"/>
      <c r="AG495" s="359">
        <f t="shared" ca="1" si="230"/>
        <v>-8.7383605691351018</v>
      </c>
      <c r="AH495" s="357">
        <f t="shared" ca="1" si="231"/>
        <v>-0.78716831377968421</v>
      </c>
    </row>
    <row r="496" spans="1:34" x14ac:dyDescent="0.25">
      <c r="A496" s="402">
        <f t="shared" ca="1" si="209"/>
        <v>0.1</v>
      </c>
      <c r="B496" s="357">
        <f t="shared" ca="1" si="210"/>
        <v>13.199999999999926</v>
      </c>
      <c r="C496" s="342"/>
      <c r="D496" s="359">
        <f t="shared" ca="1" si="211"/>
        <v>-0.45260744015730564</v>
      </c>
      <c r="E496" s="360">
        <f t="shared" ca="1" si="212"/>
        <v>-10.421990958854892</v>
      </c>
      <c r="F496" s="357">
        <f t="shared" ca="1" si="213"/>
        <v>10.431814273717629</v>
      </c>
      <c r="G496" s="359">
        <f t="shared" ca="1" si="214"/>
        <v>30.927693990018128</v>
      </c>
      <c r="H496" s="360">
        <f t="shared" ca="1" si="215"/>
        <v>40.837731688421869</v>
      </c>
      <c r="I496" s="357">
        <f t="shared" ca="1" si="216"/>
        <v>51.227361682949656</v>
      </c>
      <c r="J496" s="359">
        <f t="shared" ca="1" si="217"/>
        <v>423.94332344241388</v>
      </c>
      <c r="K496" s="360">
        <f t="shared" ca="1" si="218"/>
        <v>1333.1894718762205</v>
      </c>
      <c r="L496" s="357">
        <f t="shared" ca="1" si="203"/>
        <v>1398.971804366691</v>
      </c>
      <c r="M496" s="359">
        <f t="shared" ca="1" si="219"/>
        <v>0.92261964924753648</v>
      </c>
      <c r="N496" s="357">
        <f t="shared" ca="1" si="220"/>
        <v>52.862211997724202</v>
      </c>
      <c r="O496" s="343"/>
      <c r="P496" s="363">
        <f t="shared" ca="1" si="221"/>
        <v>23</v>
      </c>
      <c r="Q496" s="357">
        <f t="shared" ca="1" si="222"/>
        <v>0</v>
      </c>
      <c r="R496" s="359">
        <f t="shared" ca="1" si="223"/>
        <v>0</v>
      </c>
      <c r="S496" s="360">
        <f t="shared" ca="1" si="224"/>
        <v>8.6519999999999992</v>
      </c>
      <c r="T496" s="357">
        <f t="shared" ca="1" si="204"/>
        <v>84.87612</v>
      </c>
      <c r="U496" s="364">
        <f t="shared" ca="1" si="205"/>
        <v>0</v>
      </c>
      <c r="V496" s="359">
        <f t="shared" ca="1" si="206"/>
        <v>1.0718904890943404</v>
      </c>
      <c r="W496" s="357">
        <f t="shared" ca="1" si="207"/>
        <v>6.3669877464156146</v>
      </c>
      <c r="X496" s="343"/>
      <c r="Y496" s="367" t="str">
        <f t="shared" ca="1" si="225"/>
        <v/>
      </c>
      <c r="Z496" s="368" t="str">
        <f t="shared" ca="1" si="226"/>
        <v/>
      </c>
      <c r="AA496" s="369" t="str">
        <f t="shared" ca="1" si="227"/>
        <v/>
      </c>
      <c r="AB496" s="344"/>
      <c r="AC496" s="363" t="e">
        <f t="shared" ca="1" si="228"/>
        <v>#N/A</v>
      </c>
      <c r="AD496" s="376" t="e">
        <f t="shared" ca="1" si="229"/>
        <v>#N/A</v>
      </c>
      <c r="AE496" s="377">
        <f t="shared" ca="1" si="208"/>
        <v>1333.1894718762205</v>
      </c>
      <c r="AF496" s="344"/>
      <c r="AG496" s="359">
        <f t="shared" ca="1" si="230"/>
        <v>-8.6485015185925747</v>
      </c>
      <c r="AH496" s="357">
        <f t="shared" ca="1" si="231"/>
        <v>-0.76117437463821458</v>
      </c>
    </row>
    <row r="497" spans="1:34" x14ac:dyDescent="0.25">
      <c r="A497" s="402">
        <f t="shared" ca="1" si="209"/>
        <v>0.1</v>
      </c>
      <c r="B497" s="357">
        <f t="shared" ca="1" si="210"/>
        <v>13.299999999999926</v>
      </c>
      <c r="C497" s="342"/>
      <c r="D497" s="359">
        <f t="shared" ca="1" si="211"/>
        <v>-0.44428643502297971</v>
      </c>
      <c r="E497" s="360">
        <f t="shared" ca="1" si="212"/>
        <v>-10.396647366341952</v>
      </c>
      <c r="F497" s="357">
        <f t="shared" ca="1" si="213"/>
        <v>10.406136021425555</v>
      </c>
      <c r="G497" s="359">
        <f t="shared" ca="1" si="214"/>
        <v>30.883265346515831</v>
      </c>
      <c r="H497" s="360">
        <f t="shared" ca="1" si="215"/>
        <v>39.798066951787675</v>
      </c>
      <c r="I497" s="357">
        <f t="shared" ca="1" si="216"/>
        <v>50.375214258227032</v>
      </c>
      <c r="J497" s="359">
        <f t="shared" ca="1" si="217"/>
        <v>427.03387140924059</v>
      </c>
      <c r="K497" s="360">
        <f t="shared" ca="1" si="218"/>
        <v>1337.221261808231</v>
      </c>
      <c r="L497" s="357">
        <f t="shared" ca="1" si="203"/>
        <v>1403.7516270205215</v>
      </c>
      <c r="M497" s="359">
        <f t="shared" ca="1" si="219"/>
        <v>0.91086234769704288</v>
      </c>
      <c r="N497" s="357">
        <f t="shared" ca="1" si="220"/>
        <v>52.188568240418299</v>
      </c>
      <c r="O497" s="343"/>
      <c r="P497" s="363">
        <f t="shared" ca="1" si="221"/>
        <v>23</v>
      </c>
      <c r="Q497" s="357">
        <f t="shared" ca="1" si="222"/>
        <v>0</v>
      </c>
      <c r="R497" s="359">
        <f t="shared" ca="1" si="223"/>
        <v>0</v>
      </c>
      <c r="S497" s="360">
        <f t="shared" ca="1" si="224"/>
        <v>8.6519999999999992</v>
      </c>
      <c r="T497" s="357">
        <f t="shared" ca="1" si="204"/>
        <v>84.87612</v>
      </c>
      <c r="U497" s="364">
        <f t="shared" ca="1" si="205"/>
        <v>0</v>
      </c>
      <c r="V497" s="359">
        <f t="shared" ca="1" si="206"/>
        <v>1.071456478506212</v>
      </c>
      <c r="W497" s="357">
        <f t="shared" ca="1" si="207"/>
        <v>6.1544318309335093</v>
      </c>
      <c r="X497" s="343"/>
      <c r="Y497" s="367" t="str">
        <f t="shared" ca="1" si="225"/>
        <v/>
      </c>
      <c r="Z497" s="368" t="str">
        <f t="shared" ca="1" si="226"/>
        <v/>
      </c>
      <c r="AA497" s="369" t="str">
        <f t="shared" ca="1" si="227"/>
        <v/>
      </c>
      <c r="AB497" s="344"/>
      <c r="AC497" s="363" t="e">
        <f t="shared" ca="1" si="228"/>
        <v>#N/A</v>
      </c>
      <c r="AD497" s="376" t="e">
        <f t="shared" ca="1" si="229"/>
        <v>#N/A</v>
      </c>
      <c r="AE497" s="377">
        <f t="shared" ca="1" si="208"/>
        <v>1337.221261808231</v>
      </c>
      <c r="AF497" s="344"/>
      <c r="AG497" s="359">
        <f t="shared" ca="1" si="230"/>
        <v>-8.5562917181816331</v>
      </c>
      <c r="AH497" s="357">
        <f t="shared" ca="1" si="231"/>
        <v>-0.73589779778266473</v>
      </c>
    </row>
    <row r="498" spans="1:34" x14ac:dyDescent="0.25">
      <c r="A498" s="402">
        <f t="shared" ca="1" si="209"/>
        <v>0.1</v>
      </c>
      <c r="B498" s="357">
        <f t="shared" ca="1" si="210"/>
        <v>13.399999999999926</v>
      </c>
      <c r="C498" s="342"/>
      <c r="D498" s="359">
        <f t="shared" ca="1" si="211"/>
        <v>-0.43609164021015079</v>
      </c>
      <c r="E498" s="360">
        <f t="shared" ca="1" si="212"/>
        <v>-10.371974392910383</v>
      </c>
      <c r="F498" s="357">
        <f t="shared" ca="1" si="213"/>
        <v>10.381138122857719</v>
      </c>
      <c r="G498" s="359">
        <f t="shared" ca="1" si="214"/>
        <v>30.839656182494817</v>
      </c>
      <c r="H498" s="360">
        <f t="shared" ca="1" si="215"/>
        <v>38.760869512496633</v>
      </c>
      <c r="I498" s="357">
        <f t="shared" ca="1" si="216"/>
        <v>49.53271039241929</v>
      </c>
      <c r="J498" s="359">
        <f t="shared" ca="1" si="217"/>
        <v>430.12001748569111</v>
      </c>
      <c r="K498" s="360">
        <f t="shared" ca="1" si="218"/>
        <v>1341.1492086314452</v>
      </c>
      <c r="L498" s="357">
        <f t="shared" ca="1" si="203"/>
        <v>1408.4333243908434</v>
      </c>
      <c r="M498" s="359">
        <f t="shared" ca="1" si="219"/>
        <v>0.89872024526010863</v>
      </c>
      <c r="N498" s="357">
        <f t="shared" ca="1" si="220"/>
        <v>51.49287701636645</v>
      </c>
      <c r="O498" s="343"/>
      <c r="P498" s="363">
        <f t="shared" ca="1" si="221"/>
        <v>23</v>
      </c>
      <c r="Q498" s="357">
        <f t="shared" ca="1" si="222"/>
        <v>0</v>
      </c>
      <c r="R498" s="359">
        <f t="shared" ca="1" si="223"/>
        <v>0</v>
      </c>
      <c r="S498" s="360">
        <f t="shared" ca="1" si="224"/>
        <v>8.6519999999999992</v>
      </c>
      <c r="T498" s="357">
        <f t="shared" ca="1" si="204"/>
        <v>84.87612</v>
      </c>
      <c r="U498" s="364">
        <f t="shared" ca="1" si="205"/>
        <v>0</v>
      </c>
      <c r="V498" s="359">
        <f t="shared" ca="1" si="206"/>
        <v>1.0710338040362843</v>
      </c>
      <c r="W498" s="357">
        <f t="shared" ca="1" si="207"/>
        <v>5.9479455196658799</v>
      </c>
      <c r="X498" s="343"/>
      <c r="Y498" s="367" t="str">
        <f t="shared" ca="1" si="225"/>
        <v/>
      </c>
      <c r="Z498" s="368" t="str">
        <f t="shared" ca="1" si="226"/>
        <v/>
      </c>
      <c r="AA498" s="369" t="str">
        <f t="shared" ca="1" si="227"/>
        <v/>
      </c>
      <c r="AB498" s="344"/>
      <c r="AC498" s="363" t="e">
        <f t="shared" ca="1" si="228"/>
        <v>#N/A</v>
      </c>
      <c r="AD498" s="376" t="e">
        <f t="shared" ca="1" si="229"/>
        <v>#N/A</v>
      </c>
      <c r="AE498" s="377">
        <f t="shared" ca="1" si="208"/>
        <v>1341.1492086314452</v>
      </c>
      <c r="AF498" s="344"/>
      <c r="AG498" s="359">
        <f t="shared" ca="1" si="230"/>
        <v>-8.4615514083231655</v>
      </c>
      <c r="AH498" s="357">
        <f t="shared" ca="1" si="231"/>
        <v>-0.7113305398674884</v>
      </c>
    </row>
    <row r="499" spans="1:34" x14ac:dyDescent="0.25">
      <c r="A499" s="402">
        <f t="shared" ca="1" si="209"/>
        <v>0.1</v>
      </c>
      <c r="B499" s="357">
        <f t="shared" ca="1" si="210"/>
        <v>13.499999999999925</v>
      </c>
      <c r="C499" s="342"/>
      <c r="D499" s="359">
        <f t="shared" ca="1" si="211"/>
        <v>-0.4280237877424713</v>
      </c>
      <c r="E499" s="360">
        <f t="shared" ca="1" si="212"/>
        <v>-10.347962358813444</v>
      </c>
      <c r="F499" s="357">
        <f t="shared" ca="1" si="213"/>
        <v>10.356810770806488</v>
      </c>
      <c r="G499" s="359">
        <f t="shared" ca="1" si="214"/>
        <v>30.79685380372057</v>
      </c>
      <c r="H499" s="360">
        <f t="shared" ca="1" si="215"/>
        <v>37.726073276615288</v>
      </c>
      <c r="I499" s="357">
        <f t="shared" ca="1" si="216"/>
        <v>48.700131509886951</v>
      </c>
      <c r="J499" s="359">
        <f t="shared" ca="1" si="217"/>
        <v>433.20184298500186</v>
      </c>
      <c r="K499" s="360">
        <f t="shared" ca="1" si="218"/>
        <v>1344.9735557709007</v>
      </c>
      <c r="L499" s="357">
        <f t="shared" ca="1" si="203"/>
        <v>1413.0172336134553</v>
      </c>
      <c r="M499" s="359">
        <f t="shared" ca="1" si="219"/>
        <v>0.8861782193354808</v>
      </c>
      <c r="N499" s="357">
        <f t="shared" ca="1" si="220"/>
        <v>50.774271864341614</v>
      </c>
      <c r="O499" s="343"/>
      <c r="P499" s="363">
        <f t="shared" ca="1" si="221"/>
        <v>23</v>
      </c>
      <c r="Q499" s="357">
        <f t="shared" ca="1" si="222"/>
        <v>0</v>
      </c>
      <c r="R499" s="359">
        <f t="shared" ca="1" si="223"/>
        <v>0</v>
      </c>
      <c r="S499" s="360">
        <f t="shared" ca="1" si="224"/>
        <v>8.6519999999999992</v>
      </c>
      <c r="T499" s="357">
        <f t="shared" ca="1" si="204"/>
        <v>84.87612</v>
      </c>
      <c r="U499" s="364">
        <f t="shared" ca="1" si="205"/>
        <v>0</v>
      </c>
      <c r="V499" s="359">
        <f t="shared" ca="1" si="206"/>
        <v>1.0706224270773199</v>
      </c>
      <c r="W499" s="357">
        <f t="shared" ca="1" si="207"/>
        <v>5.7474635071631637</v>
      </c>
      <c r="X499" s="343"/>
      <c r="Y499" s="367" t="str">
        <f t="shared" ca="1" si="225"/>
        <v/>
      </c>
      <c r="Z499" s="368" t="str">
        <f t="shared" ca="1" si="226"/>
        <v/>
      </c>
      <c r="AA499" s="369" t="str">
        <f t="shared" ca="1" si="227"/>
        <v/>
      </c>
      <c r="AB499" s="344"/>
      <c r="AC499" s="363" t="e">
        <f t="shared" ca="1" si="228"/>
        <v>#N/A</v>
      </c>
      <c r="AD499" s="376" t="e">
        <f t="shared" ca="1" si="229"/>
        <v>#N/A</v>
      </c>
      <c r="AE499" s="377">
        <f t="shared" ca="1" si="208"/>
        <v>1344.9735557709007</v>
      </c>
      <c r="AF499" s="344"/>
      <c r="AG499" s="359">
        <f t="shared" ca="1" si="230"/>
        <v>-8.3640915645413081</v>
      </c>
      <c r="AH499" s="357">
        <f t="shared" ca="1" si="231"/>
        <v>-0.68746480809822941</v>
      </c>
    </row>
    <row r="500" spans="1:34" x14ac:dyDescent="0.25">
      <c r="A500" s="402">
        <f t="shared" ca="1" si="209"/>
        <v>0.1</v>
      </c>
      <c r="B500" s="357">
        <f t="shared" ca="1" si="210"/>
        <v>13.599999999999925</v>
      </c>
      <c r="C500" s="342"/>
      <c r="D500" s="359">
        <f t="shared" ca="1" si="211"/>
        <v>-0.42008379539570928</v>
      </c>
      <c r="E500" s="360">
        <f t="shared" ca="1" si="212"/>
        <v>-10.324601658611718</v>
      </c>
      <c r="F500" s="357">
        <f t="shared" ca="1" si="213"/>
        <v>10.333144236105577</v>
      </c>
      <c r="G500" s="359">
        <f t="shared" ca="1" si="214"/>
        <v>30.754845424180999</v>
      </c>
      <c r="H500" s="360">
        <f t="shared" ca="1" si="215"/>
        <v>36.693613110754114</v>
      </c>
      <c r="I500" s="357">
        <f t="shared" ca="1" si="216"/>
        <v>47.87777939908004</v>
      </c>
      <c r="J500" s="359">
        <f t="shared" ca="1" si="217"/>
        <v>436.27942794639694</v>
      </c>
      <c r="K500" s="360">
        <f t="shared" ca="1" si="218"/>
        <v>1348.6945400902691</v>
      </c>
      <c r="L500" s="357">
        <f t="shared" ca="1" si="203"/>
        <v>1417.5036866684115</v>
      </c>
      <c r="M500" s="359">
        <f t="shared" ca="1" si="219"/>
        <v>0.87322065486385814</v>
      </c>
      <c r="N500" s="357">
        <f t="shared" ca="1" si="220"/>
        <v>50.031858107348974</v>
      </c>
      <c r="O500" s="343"/>
      <c r="P500" s="363">
        <f t="shared" ca="1" si="221"/>
        <v>23</v>
      </c>
      <c r="Q500" s="357">
        <f t="shared" ca="1" si="222"/>
        <v>0</v>
      </c>
      <c r="R500" s="359">
        <f t="shared" ca="1" si="223"/>
        <v>0</v>
      </c>
      <c r="S500" s="360">
        <f t="shared" ca="1" si="224"/>
        <v>8.6519999999999992</v>
      </c>
      <c r="T500" s="357">
        <f t="shared" ca="1" si="204"/>
        <v>84.87612</v>
      </c>
      <c r="U500" s="364">
        <f t="shared" ca="1" si="205"/>
        <v>0</v>
      </c>
      <c r="V500" s="359">
        <f t="shared" ca="1" si="206"/>
        <v>1.0702223101035016</v>
      </c>
      <c r="W500" s="357">
        <f t="shared" ca="1" si="207"/>
        <v>5.5529225572624528</v>
      </c>
      <c r="X500" s="343"/>
      <c r="Y500" s="367" t="str">
        <f t="shared" ca="1" si="225"/>
        <v/>
      </c>
      <c r="Z500" s="368" t="str">
        <f t="shared" ca="1" si="226"/>
        <v/>
      </c>
      <c r="AA500" s="369" t="str">
        <f t="shared" ca="1" si="227"/>
        <v/>
      </c>
      <c r="AB500" s="344"/>
      <c r="AC500" s="363" t="e">
        <f t="shared" ca="1" si="228"/>
        <v>#N/A</v>
      </c>
      <c r="AD500" s="376" t="e">
        <f t="shared" ca="1" si="229"/>
        <v>#N/A</v>
      </c>
      <c r="AE500" s="377">
        <f t="shared" ca="1" si="208"/>
        <v>1348.6945400902691</v>
      </c>
      <c r="AF500" s="344"/>
      <c r="AG500" s="359">
        <f t="shared" ca="1" si="230"/>
        <v>-8.2637135769348014</v>
      </c>
      <c r="AH500" s="357">
        <f t="shared" ca="1" si="231"/>
        <v>-0.66429305445713871</v>
      </c>
    </row>
    <row r="501" spans="1:34" x14ac:dyDescent="0.25">
      <c r="A501" s="402">
        <f t="shared" ca="1" si="209"/>
        <v>0.1</v>
      </c>
      <c r="B501" s="357">
        <f t="shared" ca="1" si="210"/>
        <v>13.699999999999925</v>
      </c>
      <c r="C501" s="342"/>
      <c r="D501" s="359">
        <f t="shared" ca="1" si="211"/>
        <v>-0.41227277371724147</v>
      </c>
      <c r="E501" s="360">
        <f t="shared" ca="1" si="212"/>
        <v>-10.301882740629344</v>
      </c>
      <c r="F501" s="357">
        <f t="shared" ca="1" si="213"/>
        <v>10.31012884699436</v>
      </c>
      <c r="G501" s="359">
        <f t="shared" ca="1" si="214"/>
        <v>30.713618146809274</v>
      </c>
      <c r="H501" s="360">
        <f t="shared" ca="1" si="215"/>
        <v>35.663424836691178</v>
      </c>
      <c r="I501" s="357">
        <f t="shared" ca="1" si="216"/>
        <v>47.065977210192223</v>
      </c>
      <c r="J501" s="359">
        <f t="shared" ca="1" si="217"/>
        <v>439.35285112494643</v>
      </c>
      <c r="K501" s="360">
        <f t="shared" ca="1" si="218"/>
        <v>1352.3123919876414</v>
      </c>
      <c r="L501" s="357">
        <f t="shared" ca="1" si="203"/>
        <v>1421.8930105021811</v>
      </c>
      <c r="M501" s="359">
        <f t="shared" ca="1" si="219"/>
        <v>0.85983146029971502</v>
      </c>
      <c r="N501" s="357">
        <f t="shared" ca="1" si="220"/>
        <v>49.26471376774407</v>
      </c>
      <c r="O501" s="343"/>
      <c r="P501" s="363">
        <f t="shared" ca="1" si="221"/>
        <v>23</v>
      </c>
      <c r="Q501" s="357">
        <f t="shared" ca="1" si="222"/>
        <v>0</v>
      </c>
      <c r="R501" s="359">
        <f t="shared" ca="1" si="223"/>
        <v>0</v>
      </c>
      <c r="S501" s="360">
        <f t="shared" ca="1" si="224"/>
        <v>8.6519999999999992</v>
      </c>
      <c r="T501" s="357">
        <f t="shared" ca="1" si="204"/>
        <v>84.87612</v>
      </c>
      <c r="U501" s="364">
        <f t="shared" ca="1" si="205"/>
        <v>0</v>
      </c>
      <c r="V501" s="359">
        <f t="shared" ca="1" si="206"/>
        <v>1.0698334166554733</v>
      </c>
      <c r="W501" s="357">
        <f t="shared" ca="1" si="207"/>
        <v>5.3642614559214108</v>
      </c>
      <c r="X501" s="343"/>
      <c r="Y501" s="367" t="str">
        <f t="shared" ca="1" si="225"/>
        <v/>
      </c>
      <c r="Z501" s="368" t="str">
        <f t="shared" ca="1" si="226"/>
        <v/>
      </c>
      <c r="AA501" s="369" t="str">
        <f t="shared" ca="1" si="227"/>
        <v/>
      </c>
      <c r="AB501" s="344"/>
      <c r="AC501" s="363" t="e">
        <f t="shared" ca="1" si="228"/>
        <v>#N/A</v>
      </c>
      <c r="AD501" s="376" t="e">
        <f t="shared" ca="1" si="229"/>
        <v>#N/A</v>
      </c>
      <c r="AE501" s="377">
        <f t="shared" ca="1" si="208"/>
        <v>1352.3123919876414</v>
      </c>
      <c r="AF501" s="344"/>
      <c r="AG501" s="359">
        <f t="shared" ca="1" si="230"/>
        <v>-8.1602089722813584</v>
      </c>
      <c r="AH501" s="357">
        <f t="shared" ca="1" si="231"/>
        <v>-0.6418079700950593</v>
      </c>
    </row>
    <row r="502" spans="1:34" x14ac:dyDescent="0.25">
      <c r="A502" s="402">
        <f t="shared" ca="1" si="209"/>
        <v>0.1</v>
      </c>
      <c r="B502" s="357">
        <f t="shared" ca="1" si="210"/>
        <v>13.799999999999924</v>
      </c>
      <c r="C502" s="342"/>
      <c r="D502" s="359">
        <f t="shared" ca="1" si="211"/>
        <v>-0.40459203326568116</v>
      </c>
      <c r="E502" s="360">
        <f t="shared" ca="1" si="212"/>
        <v>-10.279796085206382</v>
      </c>
      <c r="F502" s="357">
        <f t="shared" ca="1" si="213"/>
        <v>10.287754967280593</v>
      </c>
      <c r="G502" s="359">
        <f t="shared" ca="1" si="214"/>
        <v>30.673158943482708</v>
      </c>
      <c r="H502" s="360">
        <f t="shared" ca="1" si="215"/>
        <v>34.635445228170539</v>
      </c>
      <c r="I502" s="357">
        <f t="shared" ca="1" si="216"/>
        <v>46.265070471423194</v>
      </c>
      <c r="J502" s="359">
        <f t="shared" ca="1" si="217"/>
        <v>442.42218997946105</v>
      </c>
      <c r="K502" s="360">
        <f t="shared" ca="1" si="218"/>
        <v>1355.8273354908845</v>
      </c>
      <c r="L502" s="357">
        <f t="shared" ca="1" si="203"/>
        <v>1426.1855271494426</v>
      </c>
      <c r="M502" s="359">
        <f t="shared" ca="1" si="219"/>
        <v>0.84599409076928089</v>
      </c>
      <c r="N502" s="357">
        <f t="shared" ca="1" si="220"/>
        <v>48.471890894087274</v>
      </c>
      <c r="O502" s="343"/>
      <c r="P502" s="363">
        <f t="shared" ca="1" si="221"/>
        <v>23</v>
      </c>
      <c r="Q502" s="357">
        <f t="shared" ca="1" si="222"/>
        <v>0</v>
      </c>
      <c r="R502" s="359">
        <f t="shared" ca="1" si="223"/>
        <v>0</v>
      </c>
      <c r="S502" s="360">
        <f t="shared" ca="1" si="224"/>
        <v>8.6519999999999992</v>
      </c>
      <c r="T502" s="357">
        <f t="shared" ca="1" si="204"/>
        <v>84.87612</v>
      </c>
      <c r="U502" s="364">
        <f t="shared" ca="1" si="205"/>
        <v>0</v>
      </c>
      <c r="V502" s="359">
        <f t="shared" ca="1" si="206"/>
        <v>1.06945571132558</v>
      </c>
      <c r="W502" s="357">
        <f t="shared" ca="1" si="207"/>
        <v>5.1814209653240404</v>
      </c>
      <c r="X502" s="343"/>
      <c r="Y502" s="367" t="str">
        <f t="shared" ca="1" si="225"/>
        <v/>
      </c>
      <c r="Z502" s="368" t="str">
        <f t="shared" ca="1" si="226"/>
        <v/>
      </c>
      <c r="AA502" s="369" t="str">
        <f t="shared" ca="1" si="227"/>
        <v/>
      </c>
      <c r="AB502" s="344"/>
      <c r="AC502" s="363" t="e">
        <f t="shared" ca="1" si="228"/>
        <v>#N/A</v>
      </c>
      <c r="AD502" s="376" t="e">
        <f t="shared" ca="1" si="229"/>
        <v>#N/A</v>
      </c>
      <c r="AE502" s="377">
        <f t="shared" ca="1" si="208"/>
        <v>1355.8273354908845</v>
      </c>
      <c r="AF502" s="344"/>
      <c r="AG502" s="359">
        <f t="shared" ca="1" si="230"/>
        <v>-8.0533591928513442</v>
      </c>
      <c r="AH502" s="357">
        <f t="shared" ca="1" si="231"/>
        <v>-0.62000247987995971</v>
      </c>
    </row>
    <row r="503" spans="1:34" x14ac:dyDescent="0.25">
      <c r="A503" s="402">
        <f t="shared" ca="1" si="209"/>
        <v>0.1</v>
      </c>
      <c r="B503" s="357">
        <f t="shared" ca="1" si="210"/>
        <v>13.899999999999924</v>
      </c>
      <c r="C503" s="342"/>
      <c r="D503" s="359">
        <f t="shared" ca="1" si="211"/>
        <v>-0.39704309201528665</v>
      </c>
      <c r="E503" s="360">
        <f t="shared" ca="1" si="212"/>
        <v>-10.258332181633378</v>
      </c>
      <c r="F503" s="357">
        <f t="shared" ca="1" si="213"/>
        <v>10.266012973187404</v>
      </c>
      <c r="G503" s="359">
        <f t="shared" ca="1" si="214"/>
        <v>30.633454634281179</v>
      </c>
      <c r="H503" s="360">
        <f t="shared" ca="1" si="215"/>
        <v>33.609612010007204</v>
      </c>
      <c r="I503" s="357">
        <f t="shared" ca="1" si="216"/>
        <v>45.475428115563503</v>
      </c>
      <c r="J503" s="359">
        <f t="shared" ca="1" si="217"/>
        <v>445.48752065834924</v>
      </c>
      <c r="K503" s="360">
        <f t="shared" ca="1" si="218"/>
        <v>1359.2395883527934</v>
      </c>
      <c r="L503" s="357">
        <f t="shared" ca="1" si="203"/>
        <v>1430.3815538547028</v>
      </c>
      <c r="M503" s="359">
        <f t="shared" ca="1" si="219"/>
        <v>0.83169157962262108</v>
      </c>
      <c r="N503" s="357">
        <f t="shared" ca="1" si="220"/>
        <v>47.652417368944846</v>
      </c>
      <c r="O503" s="343"/>
      <c r="P503" s="363">
        <f t="shared" ca="1" si="221"/>
        <v>23</v>
      </c>
      <c r="Q503" s="357">
        <f t="shared" ca="1" si="222"/>
        <v>0</v>
      </c>
      <c r="R503" s="359">
        <f t="shared" ca="1" si="223"/>
        <v>0</v>
      </c>
      <c r="S503" s="360">
        <f t="shared" ca="1" si="224"/>
        <v>8.6519999999999992</v>
      </c>
      <c r="T503" s="357">
        <f t="shared" ca="1" si="204"/>
        <v>84.87612</v>
      </c>
      <c r="U503" s="364">
        <f t="shared" ca="1" si="205"/>
        <v>0</v>
      </c>
      <c r="V503" s="359">
        <f t="shared" ca="1" si="206"/>
        <v>1.0690891597432959</v>
      </c>
      <c r="W503" s="357">
        <f t="shared" ca="1" si="207"/>
        <v>5.0043437791744996</v>
      </c>
      <c r="X503" s="343"/>
      <c r="Y503" s="367" t="str">
        <f t="shared" ca="1" si="225"/>
        <v/>
      </c>
      <c r="Z503" s="368" t="str">
        <f t="shared" ca="1" si="226"/>
        <v/>
      </c>
      <c r="AA503" s="369" t="str">
        <f t="shared" ca="1" si="227"/>
        <v/>
      </c>
      <c r="AB503" s="344"/>
      <c r="AC503" s="363" t="e">
        <f t="shared" ca="1" si="228"/>
        <v>#N/A</v>
      </c>
      <c r="AD503" s="376" t="e">
        <f t="shared" ca="1" si="229"/>
        <v>#N/A</v>
      </c>
      <c r="AE503" s="377">
        <f t="shared" ca="1" si="208"/>
        <v>1359.2395883527934</v>
      </c>
      <c r="AF503" s="344"/>
      <c r="AG503" s="359">
        <f t="shared" ca="1" si="230"/>
        <v>-7.9429354485717791</v>
      </c>
      <c r="AH503" s="357">
        <f t="shared" ca="1" si="231"/>
        <v>-0.59886973709246893</v>
      </c>
    </row>
    <row r="504" spans="1:34" x14ac:dyDescent="0.25">
      <c r="A504" s="402">
        <f t="shared" ca="1" si="209"/>
        <v>0.1</v>
      </c>
      <c r="B504" s="357">
        <f t="shared" ca="1" si="210"/>
        <v>13.999999999999924</v>
      </c>
      <c r="C504" s="342"/>
      <c r="D504" s="359">
        <f t="shared" ca="1" si="211"/>
        <v>-0.38962768285498534</v>
      </c>
      <c r="E504" s="360">
        <f t="shared" ca="1" si="212"/>
        <v>-10.237481503651882</v>
      </c>
      <c r="F504" s="357">
        <f t="shared" ca="1" si="213"/>
        <v>10.244893228768241</v>
      </c>
      <c r="G504" s="359">
        <f t="shared" ca="1" si="214"/>
        <v>30.594491865995682</v>
      </c>
      <c r="H504" s="360">
        <f t="shared" ca="1" si="215"/>
        <v>32.585863859642018</v>
      </c>
      <c r="I504" s="357">
        <f t="shared" ca="1" si="216"/>
        <v>44.697443506509401</v>
      </c>
      <c r="J504" s="359">
        <f t="shared" ca="1" si="217"/>
        <v>448.54891798336308</v>
      </c>
      <c r="K504" s="360">
        <f t="shared" ca="1" si="218"/>
        <v>1362.5493621462758</v>
      </c>
      <c r="L504" s="357">
        <f t="shared" ca="1" si="203"/>
        <v>1434.481403193945</v>
      </c>
      <c r="M504" s="359">
        <f t="shared" ca="1" si="219"/>
        <v>0.81690657972191938</v>
      </c>
      <c r="N504" s="357">
        <f t="shared" ca="1" si="220"/>
        <v>46.805299274533297</v>
      </c>
      <c r="O504" s="343"/>
      <c r="P504" s="363">
        <f t="shared" ca="1" si="221"/>
        <v>23</v>
      </c>
      <c r="Q504" s="357">
        <f t="shared" ca="1" si="222"/>
        <v>0</v>
      </c>
      <c r="R504" s="359">
        <f t="shared" ca="1" si="223"/>
        <v>0</v>
      </c>
      <c r="S504" s="360">
        <f t="shared" ca="1" si="224"/>
        <v>8.6519999999999992</v>
      </c>
      <c r="T504" s="357">
        <f t="shared" ca="1" si="204"/>
        <v>84.87612</v>
      </c>
      <c r="U504" s="364">
        <f t="shared" ca="1" si="205"/>
        <v>0</v>
      </c>
      <c r="V504" s="359">
        <f t="shared" ca="1" si="206"/>
        <v>1.0687337285608038</v>
      </c>
      <c r="W504" s="357">
        <f t="shared" ca="1" si="207"/>
        <v>4.8329744790941991</v>
      </c>
      <c r="X504" s="343"/>
      <c r="Y504" s="367" t="str">
        <f t="shared" ca="1" si="225"/>
        <v/>
      </c>
      <c r="Z504" s="368" t="str">
        <f t="shared" ca="1" si="226"/>
        <v/>
      </c>
      <c r="AA504" s="369" t="str">
        <f t="shared" ca="1" si="227"/>
        <v/>
      </c>
      <c r="AB504" s="344"/>
      <c r="AC504" s="363">
        <f t="shared" ca="1" si="228"/>
        <v>13.999999999999924</v>
      </c>
      <c r="AD504" s="376">
        <f t="shared" ca="1" si="229"/>
        <v>448.54891798336308</v>
      </c>
      <c r="AE504" s="377">
        <f t="shared" ca="1" si="208"/>
        <v>1362.5493621462758</v>
      </c>
      <c r="AF504" s="344"/>
      <c r="AG504" s="359">
        <f t="shared" ca="1" si="230"/>
        <v>-7.828698662047807</v>
      </c>
      <c r="AH504" s="357">
        <f t="shared" ca="1" si="231"/>
        <v>-0.57840311825872626</v>
      </c>
    </row>
    <row r="505" spans="1:34" x14ac:dyDescent="0.25">
      <c r="A505" s="402">
        <f t="shared" ca="1" si="209"/>
        <v>0.1</v>
      </c>
      <c r="B505" s="357">
        <f t="shared" ca="1" si="210"/>
        <v>14.099999999999923</v>
      </c>
      <c r="C505" s="342"/>
      <c r="D505" s="359">
        <f t="shared" ca="1" si="211"/>
        <v>-0.38234776109457802</v>
      </c>
      <c r="E505" s="360">
        <f t="shared" ca="1" si="212"/>
        <v>-10.217234483404335</v>
      </c>
      <c r="F505" s="357">
        <f t="shared" ca="1" si="213"/>
        <v>10.224386059773012</v>
      </c>
      <c r="G505" s="359">
        <f t="shared" ca="1" si="214"/>
        <v>30.556257089886223</v>
      </c>
      <c r="H505" s="360">
        <f t="shared" ca="1" si="215"/>
        <v>31.564140411301583</v>
      </c>
      <c r="I505" s="357">
        <f t="shared" ca="1" si="216"/>
        <v>43.931535452879217</v>
      </c>
      <c r="J505" s="359">
        <f t="shared" ca="1" si="217"/>
        <v>451.6064554311572</v>
      </c>
      <c r="K505" s="360">
        <f t="shared" ca="1" si="218"/>
        <v>1365.7568623598231</v>
      </c>
      <c r="L505" s="357">
        <f t="shared" ca="1" si="203"/>
        <v>1438.4853831965213</v>
      </c>
      <c r="M505" s="359">
        <f t="shared" ca="1" si="219"/>
        <v>0.80162141594380776</v>
      </c>
      <c r="N505" s="357">
        <f t="shared" ca="1" si="220"/>
        <v>45.929523900881264</v>
      </c>
      <c r="O505" s="343"/>
      <c r="P505" s="363">
        <f t="shared" ca="1" si="221"/>
        <v>23</v>
      </c>
      <c r="Q505" s="357">
        <f t="shared" ca="1" si="222"/>
        <v>0</v>
      </c>
      <c r="R505" s="359">
        <f t="shared" ca="1" si="223"/>
        <v>0</v>
      </c>
      <c r="S505" s="360">
        <f t="shared" ca="1" si="224"/>
        <v>8.6519999999999992</v>
      </c>
      <c r="T505" s="357">
        <f t="shared" ca="1" si="204"/>
        <v>84.87612</v>
      </c>
      <c r="U505" s="364">
        <f t="shared" ca="1" si="205"/>
        <v>0</v>
      </c>
      <c r="V505" s="359">
        <f t="shared" ca="1" si="206"/>
        <v>1.0683893854386961</v>
      </c>
      <c r="W505" s="357">
        <f t="shared" ca="1" si="207"/>
        <v>4.6672594920364823</v>
      </c>
      <c r="X505" s="343"/>
      <c r="Y505" s="367" t="str">
        <f t="shared" ca="1" si="225"/>
        <v/>
      </c>
      <c r="Z505" s="368" t="str">
        <f t="shared" ca="1" si="226"/>
        <v/>
      </c>
      <c r="AA505" s="369" t="str">
        <f t="shared" ca="1" si="227"/>
        <v/>
      </c>
      <c r="AB505" s="344"/>
      <c r="AC505" s="363" t="e">
        <f t="shared" ca="1" si="228"/>
        <v>#N/A</v>
      </c>
      <c r="AD505" s="376" t="e">
        <f t="shared" ca="1" si="229"/>
        <v>#N/A</v>
      </c>
      <c r="AE505" s="377">
        <f t="shared" ca="1" si="208"/>
        <v>1365.7568623598231</v>
      </c>
      <c r="AF505" s="344"/>
      <c r="AG505" s="359">
        <f t="shared" ca="1" si="230"/>
        <v>-7.710399529110723</v>
      </c>
      <c r="AH505" s="357">
        <f t="shared" ca="1" si="231"/>
        <v>-0.55859621811074889</v>
      </c>
    </row>
    <row r="506" spans="1:34" x14ac:dyDescent="0.25">
      <c r="A506" s="402">
        <f t="shared" ca="1" si="209"/>
        <v>0.1</v>
      </c>
      <c r="B506" s="357">
        <f t="shared" ca="1" si="210"/>
        <v>14.199999999999923</v>
      </c>
      <c r="C506" s="342"/>
      <c r="D506" s="359">
        <f t="shared" ca="1" si="211"/>
        <v>-0.37520551187074425</v>
      </c>
      <c r="E506" s="360">
        <f t="shared" ca="1" si="212"/>
        <v>-10.197581483718514</v>
      </c>
      <c r="F506" s="357">
        <f t="shared" ca="1" si="213"/>
        <v>10.204481725850503</v>
      </c>
      <c r="G506" s="359">
        <f t="shared" ca="1" si="214"/>
        <v>30.518736538699148</v>
      </c>
      <c r="H506" s="360">
        <f t="shared" ca="1" si="215"/>
        <v>30.54438226292973</v>
      </c>
      <c r="I506" s="357">
        <f t="shared" ca="1" si="216"/>
        <v>43.178149193110478</v>
      </c>
      <c r="J506" s="359">
        <f t="shared" ca="1" si="217"/>
        <v>454.66020511258648</v>
      </c>
      <c r="K506" s="360">
        <f t="shared" ca="1" si="218"/>
        <v>1368.8622884935346</v>
      </c>
      <c r="L506" s="357">
        <f t="shared" ca="1" si="203"/>
        <v>1442.3937974675212</v>
      </c>
      <c r="M506" s="359">
        <f t="shared" ca="1" si="219"/>
        <v>0.78581815050629578</v>
      </c>
      <c r="N506" s="357">
        <f t="shared" ca="1" si="220"/>
        <v>45.024063488786865</v>
      </c>
      <c r="O506" s="343"/>
      <c r="P506" s="363">
        <f t="shared" ca="1" si="221"/>
        <v>23</v>
      </c>
      <c r="Q506" s="357">
        <f t="shared" ca="1" si="222"/>
        <v>0</v>
      </c>
      <c r="R506" s="359">
        <f t="shared" ca="1" si="223"/>
        <v>0</v>
      </c>
      <c r="S506" s="360">
        <f t="shared" ca="1" si="224"/>
        <v>8.6519999999999992</v>
      </c>
      <c r="T506" s="357">
        <f t="shared" ca="1" si="204"/>
        <v>84.87612</v>
      </c>
      <c r="U506" s="364">
        <f t="shared" ca="1" si="205"/>
        <v>0</v>
      </c>
      <c r="V506" s="359">
        <f t="shared" ca="1" si="206"/>
        <v>1.068056099031766</v>
      </c>
      <c r="W506" s="357">
        <f t="shared" ca="1" si="207"/>
        <v>4.5071470486317038</v>
      </c>
      <c r="X506" s="343"/>
      <c r="Y506" s="367" t="str">
        <f t="shared" ca="1" si="225"/>
        <v/>
      </c>
      <c r="Z506" s="368" t="str">
        <f t="shared" ca="1" si="226"/>
        <v/>
      </c>
      <c r="AA506" s="369" t="str">
        <f t="shared" ca="1" si="227"/>
        <v/>
      </c>
      <c r="AB506" s="344"/>
      <c r="AC506" s="363" t="e">
        <f t="shared" ca="1" si="228"/>
        <v>#N/A</v>
      </c>
      <c r="AD506" s="376" t="e">
        <f t="shared" ca="1" si="229"/>
        <v>#N/A</v>
      </c>
      <c r="AE506" s="377">
        <f t="shared" ca="1" si="208"/>
        <v>1368.8622884935346</v>
      </c>
      <c r="AF506" s="344"/>
      <c r="AG506" s="359">
        <f t="shared" ca="1" si="230"/>
        <v>-7.5877787209961562</v>
      </c>
      <c r="AH506" s="357">
        <f t="shared" ca="1" si="231"/>
        <v>-0.53944284466441084</v>
      </c>
    </row>
    <row r="507" spans="1:34" x14ac:dyDescent="0.25">
      <c r="A507" s="402">
        <f t="shared" ca="1" si="209"/>
        <v>0.1</v>
      </c>
      <c r="B507" s="357">
        <f t="shared" ca="1" si="210"/>
        <v>14.299999999999923</v>
      </c>
      <c r="C507" s="342"/>
      <c r="D507" s="359">
        <f t="shared" ca="1" si="211"/>
        <v>-0.36820335732264803</v>
      </c>
      <c r="E507" s="360">
        <f t="shared" ca="1" si="212"/>
        <v>-10.178512768616615</v>
      </c>
      <c r="F507" s="357">
        <f t="shared" ca="1" si="213"/>
        <v>10.185170390977028</v>
      </c>
      <c r="G507" s="359">
        <f t="shared" ca="1" si="214"/>
        <v>30.481916202966882</v>
      </c>
      <c r="H507" s="360">
        <f t="shared" ca="1" si="215"/>
        <v>29.526530986068067</v>
      </c>
      <c r="I507" s="357">
        <f t="shared" ca="1" si="216"/>
        <v>42.437757333251398</v>
      </c>
      <c r="J507" s="359">
        <f t="shared" ca="1" si="217"/>
        <v>457.71023774966977</v>
      </c>
      <c r="K507" s="360">
        <f t="shared" ca="1" si="218"/>
        <v>1371.8658341559844</v>
      </c>
      <c r="L507" s="357">
        <f t="shared" ca="1" si="203"/>
        <v>1446.206945310855</v>
      </c>
      <c r="M507" s="359">
        <f t="shared" ca="1" si="219"/>
        <v>0.76947866285431821</v>
      </c>
      <c r="N507" s="357">
        <f t="shared" ca="1" si="220"/>
        <v>44.087879806922423</v>
      </c>
      <c r="O507" s="343"/>
      <c r="P507" s="363">
        <f t="shared" ca="1" si="221"/>
        <v>23</v>
      </c>
      <c r="Q507" s="357">
        <f t="shared" ca="1" si="222"/>
        <v>0</v>
      </c>
      <c r="R507" s="359">
        <f t="shared" ca="1" si="223"/>
        <v>0</v>
      </c>
      <c r="S507" s="360">
        <f t="shared" ca="1" si="224"/>
        <v>8.6519999999999992</v>
      </c>
      <c r="T507" s="357">
        <f t="shared" ca="1" si="204"/>
        <v>84.87612</v>
      </c>
      <c r="U507" s="364">
        <f t="shared" ca="1" si="205"/>
        <v>0</v>
      </c>
      <c r="V507" s="359">
        <f t="shared" ca="1" si="206"/>
        <v>1.0677338389748554</v>
      </c>
      <c r="W507" s="357">
        <f t="shared" ca="1" si="207"/>
        <v>4.3525871423738609</v>
      </c>
      <c r="X507" s="343"/>
      <c r="Y507" s="367" t="str">
        <f t="shared" ca="1" si="225"/>
        <v/>
      </c>
      <c r="Z507" s="368" t="str">
        <f t="shared" ca="1" si="226"/>
        <v/>
      </c>
      <c r="AA507" s="369" t="str">
        <f t="shared" ca="1" si="227"/>
        <v/>
      </c>
      <c r="AB507" s="344"/>
      <c r="AC507" s="363" t="e">
        <f t="shared" ca="1" si="228"/>
        <v>#N/A</v>
      </c>
      <c r="AD507" s="376" t="e">
        <f t="shared" ca="1" si="229"/>
        <v>#N/A</v>
      </c>
      <c r="AE507" s="377">
        <f t="shared" ca="1" si="208"/>
        <v>1371.8658341559844</v>
      </c>
      <c r="AF507" s="344"/>
      <c r="AG507" s="359">
        <f t="shared" ca="1" si="230"/>
        <v>-7.4605672579159856</v>
      </c>
      <c r="AH507" s="357">
        <f t="shared" ca="1" si="231"/>
        <v>-0.52093701440495888</v>
      </c>
    </row>
    <row r="508" spans="1:34" x14ac:dyDescent="0.25">
      <c r="A508" s="402">
        <f t="shared" ca="1" si="209"/>
        <v>0.1</v>
      </c>
      <c r="B508" s="357">
        <f t="shared" ca="1" si="210"/>
        <v>14.399999999999922</v>
      </c>
      <c r="C508" s="342"/>
      <c r="D508" s="359">
        <f t="shared" ca="1" si="211"/>
        <v>-0.36134396338109109</v>
      </c>
      <c r="E508" s="360">
        <f t="shared" ca="1" si="212"/>
        <v>-10.160018471947705</v>
      </c>
      <c r="F508" s="357">
        <f t="shared" ca="1" si="213"/>
        <v>10.166442092009895</v>
      </c>
      <c r="G508" s="359">
        <f t="shared" ca="1" si="214"/>
        <v>30.445781806628773</v>
      </c>
      <c r="H508" s="360">
        <f t="shared" ca="1" si="215"/>
        <v>28.510529138873295</v>
      </c>
      <c r="I508" s="357">
        <f t="shared" ca="1" si="216"/>
        <v>41.710860715111011</v>
      </c>
      <c r="J508" s="359">
        <f t="shared" ca="1" si="217"/>
        <v>460.75662265014955</v>
      </c>
      <c r="K508" s="360">
        <f t="shared" ca="1" si="218"/>
        <v>1374.7676871622316</v>
      </c>
      <c r="L508" s="357">
        <f t="shared" ca="1" si="203"/>
        <v>1449.9251218533198</v>
      </c>
      <c r="M508" s="359">
        <f t="shared" ca="1" si="219"/>
        <v>0.75258474594394642</v>
      </c>
      <c r="N508" s="357">
        <f t="shared" ca="1" si="220"/>
        <v>43.119929668513429</v>
      </c>
      <c r="O508" s="343"/>
      <c r="P508" s="363">
        <f t="shared" ca="1" si="221"/>
        <v>23</v>
      </c>
      <c r="Q508" s="357">
        <f t="shared" ca="1" si="222"/>
        <v>0</v>
      </c>
      <c r="R508" s="359">
        <f t="shared" ca="1" si="223"/>
        <v>0</v>
      </c>
      <c r="S508" s="360">
        <f t="shared" ca="1" si="224"/>
        <v>8.6519999999999992</v>
      </c>
      <c r="T508" s="357">
        <f t="shared" ca="1" si="204"/>
        <v>84.87612</v>
      </c>
      <c r="U508" s="364">
        <f t="shared" ca="1" si="205"/>
        <v>0</v>
      </c>
      <c r="V508" s="359">
        <f t="shared" ca="1" si="206"/>
        <v>1.0674225758687235</v>
      </c>
      <c r="W508" s="357">
        <f t="shared" ca="1" si="207"/>
        <v>4.2035314895579896</v>
      </c>
      <c r="X508" s="343"/>
      <c r="Y508" s="367" t="str">
        <f t="shared" ca="1" si="225"/>
        <v/>
      </c>
      <c r="Z508" s="368" t="str">
        <f t="shared" ca="1" si="226"/>
        <v/>
      </c>
      <c r="AA508" s="369" t="str">
        <f t="shared" ca="1" si="227"/>
        <v/>
      </c>
      <c r="AB508" s="344"/>
      <c r="AC508" s="363" t="e">
        <f t="shared" ca="1" si="228"/>
        <v>#N/A</v>
      </c>
      <c r="AD508" s="376" t="e">
        <f t="shared" ca="1" si="229"/>
        <v>#N/A</v>
      </c>
      <c r="AE508" s="377">
        <f t="shared" ca="1" si="208"/>
        <v>1374.7676871622316</v>
      </c>
      <c r="AF508" s="344"/>
      <c r="AG508" s="359">
        <f t="shared" ca="1" si="230"/>
        <v>-7.3284870875948895</v>
      </c>
      <c r="AH508" s="357">
        <f t="shared" ca="1" si="231"/>
        <v>-0.50307294756979437</v>
      </c>
    </row>
    <row r="509" spans="1:34" x14ac:dyDescent="0.25">
      <c r="A509" s="402">
        <f t="shared" ca="1" si="209"/>
        <v>0.1</v>
      </c>
      <c r="B509" s="357">
        <f t="shared" ca="1" si="210"/>
        <v>14.499999999999922</v>
      </c>
      <c r="C509" s="342"/>
      <c r="D509" s="359">
        <f t="shared" ca="1" si="211"/>
        <v>-0.35463024598624016</v>
      </c>
      <c r="E509" s="360">
        <f t="shared" ca="1" si="212"/>
        <v>-10.142088564055701</v>
      </c>
      <c r="F509" s="357">
        <f t="shared" ca="1" si="213"/>
        <v>10.148286705277778</v>
      </c>
      <c r="G509" s="359">
        <f t="shared" ca="1" si="214"/>
        <v>30.410318782030149</v>
      </c>
      <c r="H509" s="360">
        <f t="shared" ca="1" si="215"/>
        <v>27.496320282467725</v>
      </c>
      <c r="I509" s="357">
        <f t="shared" ca="1" si="216"/>
        <v>40.997989188504619</v>
      </c>
      <c r="J509" s="359">
        <f t="shared" ca="1" si="217"/>
        <v>463.79942767958249</v>
      </c>
      <c r="K509" s="360">
        <f t="shared" ca="1" si="218"/>
        <v>1377.5680296332987</v>
      </c>
      <c r="L509" s="357">
        <f t="shared" ca="1" si="203"/>
        <v>1453.5486181699177</v>
      </c>
      <c r="M509" s="359">
        <f t="shared" ca="1" si="219"/>
        <v>0.735118220843472</v>
      </c>
      <c r="N509" s="357">
        <f t="shared" ca="1" si="220"/>
        <v>42.119171497496929</v>
      </c>
      <c r="O509" s="343"/>
      <c r="P509" s="363">
        <f t="shared" ca="1" si="221"/>
        <v>23</v>
      </c>
      <c r="Q509" s="357">
        <f t="shared" ca="1" si="222"/>
        <v>0</v>
      </c>
      <c r="R509" s="359">
        <f t="shared" ca="1" si="223"/>
        <v>0</v>
      </c>
      <c r="S509" s="360">
        <f t="shared" ca="1" si="224"/>
        <v>8.6519999999999992</v>
      </c>
      <c r="T509" s="357">
        <f t="shared" ca="1" si="204"/>
        <v>84.87612</v>
      </c>
      <c r="U509" s="364">
        <f t="shared" ca="1" si="205"/>
        <v>0</v>
      </c>
      <c r="V509" s="359">
        <f t="shared" ca="1" si="206"/>
        <v>1.067122281265898</v>
      </c>
      <c r="W509" s="357">
        <f t="shared" ca="1" si="207"/>
        <v>4.0599334898752719</v>
      </c>
      <c r="X509" s="343"/>
      <c r="Y509" s="367" t="str">
        <f t="shared" ca="1" si="225"/>
        <v/>
      </c>
      <c r="Z509" s="368" t="str">
        <f t="shared" ca="1" si="226"/>
        <v/>
      </c>
      <c r="AA509" s="369" t="str">
        <f t="shared" ca="1" si="227"/>
        <v/>
      </c>
      <c r="AB509" s="344"/>
      <c r="AC509" s="363" t="e">
        <f t="shared" ca="1" si="228"/>
        <v>#N/A</v>
      </c>
      <c r="AD509" s="376" t="e">
        <f t="shared" ca="1" si="229"/>
        <v>#N/A</v>
      </c>
      <c r="AE509" s="377">
        <f t="shared" ca="1" si="208"/>
        <v>1377.5680296332987</v>
      </c>
      <c r="AF509" s="344"/>
      <c r="AG509" s="359">
        <f t="shared" ca="1" si="230"/>
        <v>-7.1912519061781142</v>
      </c>
      <c r="AH509" s="357">
        <f t="shared" ca="1" si="231"/>
        <v>-0.48584506351802936</v>
      </c>
    </row>
    <row r="510" spans="1:34" x14ac:dyDescent="0.25">
      <c r="A510" s="402">
        <f t="shared" ca="1" si="209"/>
        <v>0.1</v>
      </c>
      <c r="B510" s="357">
        <f t="shared" ca="1" si="210"/>
        <v>14.599999999999921</v>
      </c>
      <c r="C510" s="342"/>
      <c r="D510" s="359">
        <f t="shared" ca="1" si="211"/>
        <v>-0.34806537651699321</v>
      </c>
      <c r="E510" s="360">
        <f t="shared" ca="1" si="212"/>
        <v>-10.124712816414286</v>
      </c>
      <c r="F510" s="357">
        <f t="shared" ca="1" si="213"/>
        <v>10.130693911139238</v>
      </c>
      <c r="G510" s="359">
        <f t="shared" ca="1" si="214"/>
        <v>30.375512244378449</v>
      </c>
      <c r="H510" s="360">
        <f t="shared" ca="1" si="215"/>
        <v>26.483849000826297</v>
      </c>
      <c r="I510" s="357">
        <f t="shared" ca="1" si="216"/>
        <v>40.299702257050896</v>
      </c>
      <c r="J510" s="359">
        <f t="shared" ca="1" si="217"/>
        <v>466.83871923090294</v>
      </c>
      <c r="K510" s="360">
        <f t="shared" ca="1" si="218"/>
        <v>1380.2670380974635</v>
      </c>
      <c r="L510" s="357">
        <f t="shared" ca="1" si="203"/>
        <v>1457.0777214107334</v>
      </c>
      <c r="M510" s="359">
        <f t="shared" ca="1" si="219"/>
        <v>0.71706107160685251</v>
      </c>
      <c r="N510" s="357">
        <f t="shared" ca="1" si="220"/>
        <v>41.084573056200753</v>
      </c>
      <c r="O510" s="343"/>
      <c r="P510" s="363">
        <f t="shared" ca="1" si="221"/>
        <v>23</v>
      </c>
      <c r="Q510" s="357">
        <f t="shared" ca="1" si="222"/>
        <v>0</v>
      </c>
      <c r="R510" s="359">
        <f t="shared" ca="1" si="223"/>
        <v>0</v>
      </c>
      <c r="S510" s="360">
        <f t="shared" ca="1" si="224"/>
        <v>8.6519999999999992</v>
      </c>
      <c r="T510" s="357">
        <f t="shared" ca="1" si="204"/>
        <v>84.87612</v>
      </c>
      <c r="U510" s="364">
        <f t="shared" ca="1" si="205"/>
        <v>0</v>
      </c>
      <c r="V510" s="359">
        <f t="shared" ca="1" si="206"/>
        <v>1.0668329276564685</v>
      </c>
      <c r="W510" s="357">
        <f t="shared" ca="1" si="207"/>
        <v>3.9217481875704192</v>
      </c>
      <c r="X510" s="343"/>
      <c r="Y510" s="367" t="str">
        <f t="shared" ca="1" si="225"/>
        <v/>
      </c>
      <c r="Z510" s="368" t="str">
        <f t="shared" ca="1" si="226"/>
        <v/>
      </c>
      <c r="AA510" s="369" t="str">
        <f t="shared" ca="1" si="227"/>
        <v/>
      </c>
      <c r="AB510" s="344"/>
      <c r="AC510" s="363" t="e">
        <f t="shared" ca="1" si="228"/>
        <v>#N/A</v>
      </c>
      <c r="AD510" s="376" t="e">
        <f t="shared" ca="1" si="229"/>
        <v>#N/A</v>
      </c>
      <c r="AE510" s="377">
        <f t="shared" ca="1" si="208"/>
        <v>1380.2670380974635</v>
      </c>
      <c r="AF510" s="344"/>
      <c r="AG510" s="359">
        <f t="shared" ca="1" si="230"/>
        <v>-7.0485682626119663</v>
      </c>
      <c r="AH510" s="357">
        <f t="shared" ca="1" si="231"/>
        <v>-0.46924797617606012</v>
      </c>
    </row>
    <row r="511" spans="1:34" x14ac:dyDescent="0.25">
      <c r="A511" s="402">
        <f t="shared" ca="1" si="209"/>
        <v>0.1</v>
      </c>
      <c r="B511" s="357">
        <f t="shared" ca="1" si="210"/>
        <v>14.699999999999921</v>
      </c>
      <c r="C511" s="342"/>
      <c r="D511" s="359">
        <f t="shared" ca="1" si="211"/>
        <v>-0.34165278618030337</v>
      </c>
      <c r="E511" s="360">
        <f t="shared" ca="1" si="212"/>
        <v>-10.107880764186465</v>
      </c>
      <c r="F511" s="357">
        <f t="shared" ca="1" si="213"/>
        <v>10.113653156467031</v>
      </c>
      <c r="G511" s="359">
        <f t="shared" ca="1" si="214"/>
        <v>30.341346965760419</v>
      </c>
      <c r="H511" s="360">
        <f t="shared" ca="1" si="215"/>
        <v>25.473060924407651</v>
      </c>
      <c r="I511" s="357">
        <f t="shared" ca="1" si="216"/>
        <v>39.616589562394729</v>
      </c>
      <c r="J511" s="359">
        <f t="shared" ca="1" si="217"/>
        <v>469.87456219140989</v>
      </c>
      <c r="K511" s="360">
        <f t="shared" ca="1" si="218"/>
        <v>1382.8648835937252</v>
      </c>
      <c r="L511" s="357">
        <f t="shared" ca="1" si="203"/>
        <v>1460.512714929677</v>
      </c>
      <c r="M511" s="359">
        <f t="shared" ca="1" si="219"/>
        <v>0.69839560235562526</v>
      </c>
      <c r="N511" s="357">
        <f t="shared" ca="1" si="220"/>
        <v>40.015120445474224</v>
      </c>
      <c r="O511" s="343"/>
      <c r="P511" s="363">
        <f t="shared" ca="1" si="221"/>
        <v>23</v>
      </c>
      <c r="Q511" s="357">
        <f t="shared" ca="1" si="222"/>
        <v>0</v>
      </c>
      <c r="R511" s="359">
        <f t="shared" ca="1" si="223"/>
        <v>0</v>
      </c>
      <c r="S511" s="360">
        <f t="shared" ca="1" si="224"/>
        <v>8.6519999999999992</v>
      </c>
      <c r="T511" s="357">
        <f t="shared" ca="1" si="204"/>
        <v>84.87612</v>
      </c>
      <c r="U511" s="364">
        <f t="shared" ca="1" si="205"/>
        <v>0</v>
      </c>
      <c r="V511" s="359">
        <f t="shared" ca="1" si="206"/>
        <v>1.0665544884537841</v>
      </c>
      <c r="W511" s="357">
        <f t="shared" ca="1" si="207"/>
        <v>3.7889322330632598</v>
      </c>
      <c r="X511" s="343"/>
      <c r="Y511" s="367" t="str">
        <f t="shared" ca="1" si="225"/>
        <v/>
      </c>
      <c r="Z511" s="368" t="str">
        <f t="shared" ca="1" si="226"/>
        <v/>
      </c>
      <c r="AA511" s="369" t="str">
        <f t="shared" ca="1" si="227"/>
        <v/>
      </c>
      <c r="AB511" s="344"/>
      <c r="AC511" s="363" t="e">
        <f t="shared" ca="1" si="228"/>
        <v>#N/A</v>
      </c>
      <c r="AD511" s="376" t="e">
        <f t="shared" ca="1" si="229"/>
        <v>#N/A</v>
      </c>
      <c r="AE511" s="377">
        <f t="shared" ca="1" si="208"/>
        <v>1382.8648835937252</v>
      </c>
      <c r="AF511" s="344"/>
      <c r="AG511" s="359">
        <f t="shared" ca="1" si="230"/>
        <v>-6.9001369909219301</v>
      </c>
      <c r="AH511" s="357">
        <f t="shared" ca="1" si="231"/>
        <v>-0.45327648954812988</v>
      </c>
    </row>
    <row r="512" spans="1:34" x14ac:dyDescent="0.25">
      <c r="A512" s="402">
        <f t="shared" ca="1" si="209"/>
        <v>0.1</v>
      </c>
      <c r="B512" s="357">
        <f t="shared" ca="1" si="210"/>
        <v>14.799999999999921</v>
      </c>
      <c r="C512" s="342"/>
      <c r="D512" s="359">
        <f t="shared" ca="1" si="211"/>
        <v>-0.33539616907165842</v>
      </c>
      <c r="E512" s="360">
        <f t="shared" ca="1" si="212"/>
        <v>-10.091581666701105</v>
      </c>
      <c r="F512" s="357">
        <f t="shared" ca="1" si="213"/>
        <v>10.097153615050422</v>
      </c>
      <c r="G512" s="359">
        <f t="shared" ca="1" si="214"/>
        <v>30.307807348853252</v>
      </c>
      <c r="H512" s="360">
        <f t="shared" ca="1" si="215"/>
        <v>24.463902757737539</v>
      </c>
      <c r="I512" s="357">
        <f t="shared" ca="1" si="216"/>
        <v>38.949271166932526</v>
      </c>
      <c r="J512" s="359">
        <f t="shared" ca="1" si="217"/>
        <v>472.90701990714058</v>
      </c>
      <c r="K512" s="360">
        <f t="shared" ca="1" si="218"/>
        <v>1385.3617317778323</v>
      </c>
      <c r="L512" s="357">
        <f t="shared" ca="1" si="203"/>
        <v>1463.8538784154405</v>
      </c>
      <c r="M512" s="359">
        <f t="shared" ca="1" si="219"/>
        <v>0.67910461841063252</v>
      </c>
      <c r="N512" s="357">
        <f t="shared" ca="1" si="220"/>
        <v>38.909828482771509</v>
      </c>
      <c r="O512" s="343"/>
      <c r="P512" s="363">
        <f t="shared" ca="1" si="221"/>
        <v>23</v>
      </c>
      <c r="Q512" s="357">
        <f t="shared" ca="1" si="222"/>
        <v>0</v>
      </c>
      <c r="R512" s="359">
        <f t="shared" ca="1" si="223"/>
        <v>0</v>
      </c>
      <c r="S512" s="360">
        <f t="shared" ca="1" si="224"/>
        <v>8.6519999999999992</v>
      </c>
      <c r="T512" s="357">
        <f t="shared" ca="1" si="204"/>
        <v>84.87612</v>
      </c>
      <c r="U512" s="364">
        <f t="shared" ca="1" si="205"/>
        <v>0</v>
      </c>
      <c r="V512" s="359">
        <f t="shared" ca="1" si="206"/>
        <v>1.0662869379800046</v>
      </c>
      <c r="W512" s="357">
        <f t="shared" ca="1" si="207"/>
        <v>3.6614438449337281</v>
      </c>
      <c r="X512" s="343"/>
      <c r="Y512" s="367" t="str">
        <f t="shared" ca="1" si="225"/>
        <v/>
      </c>
      <c r="Z512" s="368" t="str">
        <f t="shared" ca="1" si="226"/>
        <v/>
      </c>
      <c r="AA512" s="369" t="str">
        <f t="shared" ca="1" si="227"/>
        <v/>
      </c>
      <c r="AB512" s="344"/>
      <c r="AC512" s="363" t="e">
        <f t="shared" ca="1" si="228"/>
        <v>#N/A</v>
      </c>
      <c r="AD512" s="376" t="e">
        <f t="shared" ca="1" si="229"/>
        <v>#N/A</v>
      </c>
      <c r="AE512" s="377">
        <f t="shared" ca="1" si="208"/>
        <v>1385.3617317778323</v>
      </c>
      <c r="AF512" s="344"/>
      <c r="AG512" s="359">
        <f t="shared" ca="1" si="230"/>
        <v>-6.7456550174620471</v>
      </c>
      <c r="AH512" s="357">
        <f t="shared" ca="1" si="231"/>
        <v>-0.43792559328054326</v>
      </c>
    </row>
    <row r="513" spans="1:34" x14ac:dyDescent="0.25">
      <c r="A513" s="402">
        <f t="shared" ca="1" si="209"/>
        <v>0.1</v>
      </c>
      <c r="B513" s="357">
        <f t="shared" ca="1" si="210"/>
        <v>14.89999999999992</v>
      </c>
      <c r="C513" s="342"/>
      <c r="D513" s="359">
        <f t="shared" ca="1" si="211"/>
        <v>-0.32929948357916994</v>
      </c>
      <c r="E513" s="360">
        <f t="shared" ca="1" si="212"/>
        <v>-10.075804465883238</v>
      </c>
      <c r="F513" s="357">
        <f t="shared" ca="1" si="213"/>
        <v>10.081184145952205</v>
      </c>
      <c r="G513" s="359">
        <f t="shared" ca="1" si="214"/>
        <v>30.274877400495335</v>
      </c>
      <c r="H513" s="360">
        <f t="shared" ca="1" si="215"/>
        <v>23.456322311149215</v>
      </c>
      <c r="I513" s="357">
        <f t="shared" ca="1" si="216"/>
        <v>38.298397590232668</v>
      </c>
      <c r="J513" s="359">
        <f t="shared" ca="1" si="217"/>
        <v>475.936154144608</v>
      </c>
      <c r="K513" s="360">
        <f t="shared" ca="1" si="218"/>
        <v>1387.7577430312767</v>
      </c>
      <c r="L513" s="357">
        <f t="shared" ca="1" si="203"/>
        <v>1467.1014880250184</v>
      </c>
      <c r="M513" s="359">
        <f t="shared" ca="1" si="219"/>
        <v>0.65917163312327465</v>
      </c>
      <c r="N513" s="357">
        <f t="shared" ca="1" si="220"/>
        <v>37.767752552709538</v>
      </c>
      <c r="O513" s="343"/>
      <c r="P513" s="363">
        <f t="shared" ca="1" si="221"/>
        <v>23</v>
      </c>
      <c r="Q513" s="357">
        <f t="shared" ca="1" si="222"/>
        <v>0</v>
      </c>
      <c r="R513" s="359">
        <f t="shared" ca="1" si="223"/>
        <v>0</v>
      </c>
      <c r="S513" s="360">
        <f t="shared" ca="1" si="224"/>
        <v>8.6519999999999992</v>
      </c>
      <c r="T513" s="357">
        <f t="shared" ca="1" si="204"/>
        <v>84.87612</v>
      </c>
      <c r="U513" s="364">
        <f t="shared" ca="1" si="205"/>
        <v>0</v>
      </c>
      <c r="V513" s="359">
        <f t="shared" ca="1" si="206"/>
        <v>1.0660302514514668</v>
      </c>
      <c r="W513" s="357">
        <f t="shared" ca="1" si="207"/>
        <v>3.5392427721667379</v>
      </c>
      <c r="X513" s="343"/>
      <c r="Y513" s="367" t="str">
        <f t="shared" ca="1" si="225"/>
        <v/>
      </c>
      <c r="Z513" s="368" t="str">
        <f t="shared" ca="1" si="226"/>
        <v/>
      </c>
      <c r="AA513" s="369" t="str">
        <f t="shared" ca="1" si="227"/>
        <v/>
      </c>
      <c r="AB513" s="344"/>
      <c r="AC513" s="363" t="e">
        <f t="shared" ca="1" si="228"/>
        <v>#N/A</v>
      </c>
      <c r="AD513" s="376" t="e">
        <f t="shared" ca="1" si="229"/>
        <v>#N/A</v>
      </c>
      <c r="AE513" s="377">
        <f t="shared" ca="1" si="208"/>
        <v>1387.7577430312767</v>
      </c>
      <c r="AF513" s="344"/>
      <c r="AG513" s="359">
        <f t="shared" ca="1" si="230"/>
        <v>-6.5848175917982976</v>
      </c>
      <c r="AH513" s="357">
        <f t="shared" ca="1" si="231"/>
        <v>-0.42319045826788354</v>
      </c>
    </row>
    <row r="514" spans="1:34" x14ac:dyDescent="0.25">
      <c r="A514" s="402">
        <f t="shared" ca="1" si="209"/>
        <v>0.1</v>
      </c>
      <c r="B514" s="357">
        <f t="shared" ca="1" si="210"/>
        <v>14.99999999999992</v>
      </c>
      <c r="C514" s="342"/>
      <c r="D514" s="359">
        <f t="shared" ca="1" si="211"/>
        <v>-0.3233669517644262</v>
      </c>
      <c r="E514" s="360">
        <f t="shared" ca="1" si="212"/>
        <v>-10.060537742730418</v>
      </c>
      <c r="F514" s="357">
        <f t="shared" ca="1" si="213"/>
        <v>10.065733249912629</v>
      </c>
      <c r="G514" s="359">
        <f t="shared" ca="1" si="214"/>
        <v>30.242540705318891</v>
      </c>
      <c r="H514" s="360">
        <f t="shared" ca="1" si="215"/>
        <v>22.450268536876173</v>
      </c>
      <c r="I514" s="357">
        <f t="shared" ca="1" si="216"/>
        <v>37.664649549554049</v>
      </c>
      <c r="J514" s="359">
        <f t="shared" ca="1" si="217"/>
        <v>478.96202504989873</v>
      </c>
      <c r="K514" s="360">
        <f t="shared" ca="1" si="218"/>
        <v>1390.053072573678</v>
      </c>
      <c r="L514" s="357">
        <f t="shared" ca="1" si="203"/>
        <v>1470.2558165201806</v>
      </c>
      <c r="M514" s="359">
        <f t="shared" ca="1" si="219"/>
        <v>0.63858110174360061</v>
      </c>
      <c r="N514" s="357">
        <f t="shared" ca="1" si="220"/>
        <v>36.588002006722533</v>
      </c>
      <c r="O514" s="343"/>
      <c r="P514" s="363">
        <f t="shared" ca="1" si="221"/>
        <v>23</v>
      </c>
      <c r="Q514" s="357">
        <f t="shared" ca="1" si="222"/>
        <v>0</v>
      </c>
      <c r="R514" s="359">
        <f t="shared" ca="1" si="223"/>
        <v>0</v>
      </c>
      <c r="S514" s="360">
        <f t="shared" ca="1" si="224"/>
        <v>8.6519999999999992</v>
      </c>
      <c r="T514" s="357">
        <f t="shared" ca="1" si="204"/>
        <v>84.87612</v>
      </c>
      <c r="U514" s="364">
        <f t="shared" ca="1" si="205"/>
        <v>0</v>
      </c>
      <c r="V514" s="359">
        <f t="shared" ca="1" si="206"/>
        <v>1.0657844049638094</v>
      </c>
      <c r="W514" s="357">
        <f t="shared" ca="1" si="207"/>
        <v>3.4222902565506579</v>
      </c>
      <c r="X514" s="343"/>
      <c r="Y514" s="367" t="str">
        <f t="shared" ca="1" si="225"/>
        <v/>
      </c>
      <c r="Z514" s="368" t="str">
        <f t="shared" ca="1" si="226"/>
        <v/>
      </c>
      <c r="AA514" s="369" t="str">
        <f t="shared" ca="1" si="227"/>
        <v/>
      </c>
      <c r="AB514" s="344"/>
      <c r="AC514" s="363">
        <f t="shared" ca="1" si="228"/>
        <v>14.99999999999992</v>
      </c>
      <c r="AD514" s="376">
        <f t="shared" ca="1" si="229"/>
        <v>478.96202504989873</v>
      </c>
      <c r="AE514" s="377">
        <f t="shared" ca="1" si="208"/>
        <v>1390.053072573678</v>
      </c>
      <c r="AF514" s="344"/>
      <c r="AG514" s="359">
        <f t="shared" ca="1" si="230"/>
        <v>-6.417320989943617</v>
      </c>
      <c r="AH514" s="357">
        <f t="shared" ca="1" si="231"/>
        <v>-0.40906643228926703</v>
      </c>
    </row>
    <row r="515" spans="1:34" x14ac:dyDescent="0.25">
      <c r="A515" s="402">
        <f t="shared" ca="1" si="209"/>
        <v>0.1</v>
      </c>
      <c r="B515" s="357">
        <f t="shared" ca="1" si="210"/>
        <v>15.09999999999992</v>
      </c>
      <c r="C515" s="342"/>
      <c r="D515" s="359">
        <f t="shared" ca="1" si="211"/>
        <v>-0.31760305631490759</v>
      </c>
      <c r="E515" s="360">
        <f t="shared" ca="1" si="212"/>
        <v>-10.045769671995457</v>
      </c>
      <c r="F515" s="357">
        <f t="shared" ca="1" si="213"/>
        <v>10.050789023960471</v>
      </c>
      <c r="G515" s="359">
        <f t="shared" ca="1" si="214"/>
        <v>30.210780399687401</v>
      </c>
      <c r="H515" s="360">
        <f t="shared" ca="1" si="215"/>
        <v>21.445691569676626</v>
      </c>
      <c r="I515" s="357">
        <f t="shared" ca="1" si="216"/>
        <v>37.048737350412303</v>
      </c>
      <c r="J515" s="359">
        <f t="shared" ca="1" si="217"/>
        <v>481.98469110514907</v>
      </c>
      <c r="K515" s="360">
        <f t="shared" ca="1" si="218"/>
        <v>1392.2478705790056</v>
      </c>
      <c r="L515" s="357">
        <f t="shared" ca="1" si="203"/>
        <v>1473.3171334072993</v>
      </c>
      <c r="M515" s="359">
        <f t="shared" ca="1" si="219"/>
        <v>0.61731868320386529</v>
      </c>
      <c r="N515" s="357">
        <f t="shared" ca="1" si="220"/>
        <v>35.369755162154981</v>
      </c>
      <c r="O515" s="343"/>
      <c r="P515" s="363">
        <f t="shared" ca="1" si="221"/>
        <v>23</v>
      </c>
      <c r="Q515" s="357">
        <f t="shared" ca="1" si="222"/>
        <v>0</v>
      </c>
      <c r="R515" s="359">
        <f t="shared" ca="1" si="223"/>
        <v>0</v>
      </c>
      <c r="S515" s="360">
        <f t="shared" ca="1" si="224"/>
        <v>8.6519999999999992</v>
      </c>
      <c r="T515" s="357">
        <f t="shared" ca="1" si="204"/>
        <v>84.87612</v>
      </c>
      <c r="U515" s="364">
        <f t="shared" ca="1" si="205"/>
        <v>0</v>
      </c>
      <c r="V515" s="359">
        <f t="shared" ca="1" si="206"/>
        <v>1.0655493754768166</v>
      </c>
      <c r="W515" s="357">
        <f t="shared" ca="1" si="207"/>
        <v>3.3105489951206817</v>
      </c>
      <c r="X515" s="343"/>
      <c r="Y515" s="367" t="str">
        <f t="shared" ca="1" si="225"/>
        <v/>
      </c>
      <c r="Z515" s="368" t="str">
        <f t="shared" ca="1" si="226"/>
        <v/>
      </c>
      <c r="AA515" s="369" t="str">
        <f t="shared" ca="1" si="227"/>
        <v/>
      </c>
      <c r="AB515" s="344"/>
      <c r="AC515" s="363" t="e">
        <f t="shared" ca="1" si="228"/>
        <v>#N/A</v>
      </c>
      <c r="AD515" s="376" t="e">
        <f t="shared" ca="1" si="229"/>
        <v>#N/A</v>
      </c>
      <c r="AE515" s="377">
        <f t="shared" ca="1" si="208"/>
        <v>1392.2478705790056</v>
      </c>
      <c r="AF515" s="344"/>
      <c r="AG515" s="359">
        <f t="shared" ca="1" si="230"/>
        <v>-6.2428657366181648</v>
      </c>
      <c r="AH515" s="357">
        <f t="shared" ca="1" si="231"/>
        <v>-0.39554903566235067</v>
      </c>
    </row>
    <row r="516" spans="1:34" x14ac:dyDescent="0.25">
      <c r="A516" s="402">
        <f t="shared" ca="1" si="209"/>
        <v>0.1</v>
      </c>
      <c r="B516" s="357">
        <f t="shared" ca="1" si="210"/>
        <v>15.199999999999919</v>
      </c>
      <c r="C516" s="342"/>
      <c r="D516" s="359">
        <f t="shared" ca="1" si="211"/>
        <v>-0.3120125346273675</v>
      </c>
      <c r="E516" s="360">
        <f t="shared" ca="1" si="212"/>
        <v>-10.031487975317606</v>
      </c>
      <c r="F516" s="357">
        <f t="shared" ca="1" si="213"/>
        <v>10.036339114473281</v>
      </c>
      <c r="G516" s="359">
        <f t="shared" ca="1" si="214"/>
        <v>30.179579146224665</v>
      </c>
      <c r="H516" s="360">
        <f t="shared" ca="1" si="215"/>
        <v>20.442542772144865</v>
      </c>
      <c r="I516" s="357">
        <f t="shared" ca="1" si="216"/>
        <v>36.451399869335759</v>
      </c>
      <c r="J516" s="359">
        <f t="shared" ca="1" si="217"/>
        <v>485.00420908244467</v>
      </c>
      <c r="K516" s="360">
        <f t="shared" ca="1" si="218"/>
        <v>1394.3422822960968</v>
      </c>
      <c r="L516" s="357">
        <f t="shared" ref="L516:L579" ca="1" si="232">SQRT(pos_x^2+pos_z^2)</f>
        <v>1476.2857050809559</v>
      </c>
      <c r="M516" s="359">
        <f t="shared" ca="1" si="219"/>
        <v>0.59537153006549348</v>
      </c>
      <c r="N516" s="357">
        <f t="shared" ca="1" si="220"/>
        <v>34.112275914998975</v>
      </c>
      <c r="O516" s="343"/>
      <c r="P516" s="363">
        <f t="shared" ca="1" si="221"/>
        <v>23</v>
      </c>
      <c r="Q516" s="357">
        <f t="shared" ca="1" si="222"/>
        <v>0</v>
      </c>
      <c r="R516" s="359">
        <f t="shared" ca="1" si="223"/>
        <v>0</v>
      </c>
      <c r="S516" s="360">
        <f t="shared" ca="1" si="224"/>
        <v>8.6519999999999992</v>
      </c>
      <c r="T516" s="357">
        <f t="shared" ref="T516:T579" ca="1" si="233">m*g</f>
        <v>84.87612</v>
      </c>
      <c r="U516" s="364">
        <f t="shared" ref="U516:U579" ca="1" si="234">IF(pos_xz&lt;L_rampe,Poids*COS(Beta),0)</f>
        <v>0</v>
      </c>
      <c r="V516" s="359">
        <f t="shared" ref="V516:V579" ca="1" si="235">Rho_moyen*(20000-Alt_rampe-pos_z)/(20000+Alt_rampe+pos_z)</f>
        <v>1.0653251407989155</v>
      </c>
      <c r="W516" s="357">
        <f t="shared" ref="W516:W579" ca="1" si="236">1/2*Rho*Sref*Cx*vit_xz^2</f>
        <v>3.2039831025360987</v>
      </c>
      <c r="X516" s="343"/>
      <c r="Y516" s="367" t="str">
        <f t="shared" ca="1" si="225"/>
        <v/>
      </c>
      <c r="Z516" s="368" t="str">
        <f t="shared" ca="1" si="226"/>
        <v/>
      </c>
      <c r="AA516" s="369" t="str">
        <f t="shared" ca="1" si="227"/>
        <v/>
      </c>
      <c r="AB516" s="344"/>
      <c r="AC516" s="363" t="e">
        <f t="shared" ca="1" si="228"/>
        <v>#N/A</v>
      </c>
      <c r="AD516" s="376" t="e">
        <f t="shared" ca="1" si="229"/>
        <v>#N/A</v>
      </c>
      <c r="AE516" s="377">
        <f t="shared" ref="AE516:AE579" ca="1" si="237">IF(t&lt;T_para, pos_z, NA())</f>
        <v>1394.3422822960968</v>
      </c>
      <c r="AF516" s="344"/>
      <c r="AG516" s="359">
        <f t="shared" ca="1" si="230"/>
        <v>-6.0611603884162983</v>
      </c>
      <c r="AH516" s="357">
        <f t="shared" ca="1" si="231"/>
        <v>-0.3826339569025291</v>
      </c>
    </row>
    <row r="517" spans="1:34" x14ac:dyDescent="0.25">
      <c r="A517" s="402">
        <f t="shared" ref="A517:A580" ca="1" si="238">IF(B516+0.01&lt;=T_ini+ROUNDUP(Temps_fin_propu,0), 0.01, IF(K516&gt;0, 0.1, 0.0001))</f>
        <v>0.1</v>
      </c>
      <c r="B517" s="357">
        <f t="shared" ref="B517:B580" ca="1" si="239">B516+pas</f>
        <v>15.299999999999919</v>
      </c>
      <c r="C517" s="342"/>
      <c r="D517" s="359">
        <f t="shared" ref="D517:D580" ca="1" si="240">IF(AND(L516&lt;L_rampe,Poussee&lt;Poids*SIN(M516)),0,(-W516+Poussee)/m*COS(M516)-U516/m*SIN(M516))</f>
        <v>-0.3066003695516763</v>
      </c>
      <c r="E517" s="360">
        <f t="shared" ref="E517:E580" ca="1" si="241">IF(AND(L516&lt;L_rampe,Poussee&lt;Poids*SIN(M516)),0,(-W516+Poussee)/m*SIN(M516)+U516/m*COS(M516)-Poids/m)</f>
        <v>-10.017679873140301</v>
      </c>
      <c r="F517" s="357">
        <f t="shared" ref="F517:F580" ca="1" si="242">SQRT(acc_x^2+acc_z^2)</f>
        <v>10.022370669024843</v>
      </c>
      <c r="G517" s="359">
        <f t="shared" ref="G517:G580" ca="1" si="243">G516+acc_x*pas</f>
        <v>30.148919109269496</v>
      </c>
      <c r="H517" s="360">
        <f t="shared" ref="H517:H580" ca="1" si="244">H516+acc_z*pas</f>
        <v>19.440774784830836</v>
      </c>
      <c r="I517" s="357">
        <f t="shared" ref="I517:I580" ca="1" si="245">SQRT(vit_x^2+vit_z^2)</f>
        <v>35.873403068175591</v>
      </c>
      <c r="J517" s="359">
        <f t="shared" ref="J517:J580" ca="1" si="246">J516+0.5*(vit_x+G516)*pas*(K516&gt;=0)</f>
        <v>488.02063399521938</v>
      </c>
      <c r="K517" s="360">
        <f t="shared" ref="K517:K580" ca="1" si="247">K516+0.5*(vit_z+H516)*pas</f>
        <v>1396.3364481739454</v>
      </c>
      <c r="L517" s="357">
        <f t="shared" ca="1" si="232"/>
        <v>1479.1617949717756</v>
      </c>
      <c r="M517" s="359">
        <f t="shared" ref="M517:M580" ca="1" si="248">IF(AND(L516&gt;L_rampe,G517&gt;0),ATAN2(G517,H517),$M$4)</f>
        <v>0.57272860605073339</v>
      </c>
      <c r="N517" s="357">
        <f t="shared" ref="N517:N580" ca="1" si="249">DEGREES(Beta)</f>
        <v>32.814931933117805</v>
      </c>
      <c r="O517" s="343"/>
      <c r="P517" s="363">
        <f t="shared" ref="P517:P580" ca="1" si="250">MATCH(t-pas/2-T_ini,CdP_t)</f>
        <v>23</v>
      </c>
      <c r="Q517" s="357">
        <f t="shared" ref="Q517:Q580" ca="1" si="251">(INDEX(CdP,2,i_P+1)-INDEX(CdP,2,i_P+0))/(INDEX(CdP,1,i_P+1)-INDEX(CdP,1,i_P+0))*(t-pas/2-T_ini-INDEX(CdP,1,i_P+0))+INDEX(CdP,2,i_P+0)</f>
        <v>0</v>
      </c>
      <c r="R517" s="359">
        <f t="shared" ref="R517:R580" ca="1" si="252">Poussee/(g*ISP)</f>
        <v>0</v>
      </c>
      <c r="S517" s="360">
        <f t="shared" ref="S517:S580" ca="1" si="253">S516-Débit*pas</f>
        <v>8.6519999999999992</v>
      </c>
      <c r="T517" s="357">
        <f t="shared" ca="1" si="233"/>
        <v>84.87612</v>
      </c>
      <c r="U517" s="364">
        <f t="shared" ca="1" si="234"/>
        <v>0</v>
      </c>
      <c r="V517" s="359">
        <f t="shared" ca="1" si="235"/>
        <v>1.0651116795712881</v>
      </c>
      <c r="W517" s="357">
        <f t="shared" ca="1" si="236"/>
        <v>3.1025580732788827</v>
      </c>
      <c r="X517" s="343"/>
      <c r="Y517" s="367" t="str">
        <f t="shared" ref="Y517:Y580" ca="1" si="254">IF(AND(pos_z&lt;=0,K516&gt;0),"Impact balistique","") &amp; IF(AND(H518&lt;0,vit_z&gt;=0),"Apogée","") &amp; IF(AND(Poussee=0,Q516&gt;0),"Fin de propulsion","") &amp; IF(AND(L518&gt;L_rampe,pos_xz&lt;=L_rampe),"Sortie de rampe","")</f>
        <v/>
      </c>
      <c r="Z517" s="368" t="str">
        <f t="shared" ref="Z517:Z580" ca="1" si="255">IF(ABS(t-T_para)&lt;pas/2,"Para","")</f>
        <v/>
      </c>
      <c r="AA517" s="369" t="str">
        <f t="shared" ref="AA517:AA580" ca="1" si="256">IF(ABS(t-T_satellite)&lt;pas/2,"Satellite","")</f>
        <v/>
      </c>
      <c r="AB517" s="344"/>
      <c r="AC517" s="363" t="e">
        <f t="shared" ref="AC517:AC580" ca="1" si="257">IF(ABS(t-ROUND(t,0))&lt;0.001,t,NA())</f>
        <v>#N/A</v>
      </c>
      <c r="AD517" s="376" t="e">
        <f t="shared" ref="AD517:AD580" ca="1" si="258">IF(ABS(t-ROUND(t,0))&lt;0.001,pos_x,NA())</f>
        <v>#N/A</v>
      </c>
      <c r="AE517" s="377">
        <f t="shared" ca="1" si="237"/>
        <v>1396.3364481739454</v>
      </c>
      <c r="AF517" s="344"/>
      <c r="AG517" s="359">
        <f t="shared" ref="AG517:AG580" ca="1" si="259">IF(AND(L516&lt;L_rampe,Poussee&lt;Poids*SIN(M516)),0,(-W516+Poussee)/m-Poids*SIN(M516)/m)</f>
        <v>-5.8719259115074491</v>
      </c>
      <c r="AH517" s="357">
        <f t="shared" ref="AH517:AH580" ca="1" si="260">IF(AND(L516&lt;L_rampe,Poussee&lt;Poids*SIN(M516)), g*SIN(M516), (-W516+Poussee)/m)</f>
        <v>-0.37031704837449131</v>
      </c>
    </row>
    <row r="518" spans="1:34" x14ac:dyDescent="0.25">
      <c r="A518" s="402">
        <f t="shared" ca="1" si="238"/>
        <v>0.1</v>
      </c>
      <c r="B518" s="357">
        <f t="shared" ca="1" si="239"/>
        <v>15.399999999999919</v>
      </c>
      <c r="C518" s="342"/>
      <c r="D518" s="359">
        <f t="shared" ca="1" si="240"/>
        <v>-0.30137177630339279</v>
      </c>
      <c r="E518" s="360">
        <f t="shared" ca="1" si="241"/>
        <v>-10.004332035864508</v>
      </c>
      <c r="F518" s="357">
        <f t="shared" ca="1" si="242"/>
        <v>10.008870287468868</v>
      </c>
      <c r="G518" s="359">
        <f t="shared" ca="1" si="243"/>
        <v>30.118781931639155</v>
      </c>
      <c r="H518" s="360">
        <f t="shared" ca="1" si="244"/>
        <v>18.440341581244386</v>
      </c>
      <c r="I518" s="357">
        <f t="shared" ca="1" si="245"/>
        <v>35.315537978043096</v>
      </c>
      <c r="J518" s="359">
        <f t="shared" ca="1" si="246"/>
        <v>491.03401904726479</v>
      </c>
      <c r="K518" s="360">
        <f t="shared" ca="1" si="247"/>
        <v>1398.2305039922492</v>
      </c>
      <c r="L518" s="357">
        <f t="shared" ca="1" si="232"/>
        <v>1481.9456636989526</v>
      </c>
      <c r="M518" s="359">
        <f t="shared" ca="1" si="248"/>
        <v>0.54938102953832191</v>
      </c>
      <c r="N518" s="357">
        <f t="shared" ca="1" si="249"/>
        <v>31.477214337097859</v>
      </c>
      <c r="O518" s="343"/>
      <c r="P518" s="363">
        <f t="shared" ca="1" si="250"/>
        <v>23</v>
      </c>
      <c r="Q518" s="357">
        <f t="shared" ca="1" si="251"/>
        <v>0</v>
      </c>
      <c r="R518" s="359">
        <f t="shared" ca="1" si="252"/>
        <v>0</v>
      </c>
      <c r="S518" s="360">
        <f t="shared" ca="1" si="253"/>
        <v>8.6519999999999992</v>
      </c>
      <c r="T518" s="357">
        <f t="shared" ca="1" si="233"/>
        <v>84.87612</v>
      </c>
      <c r="U518" s="364">
        <f t="shared" ca="1" si="234"/>
        <v>0</v>
      </c>
      <c r="V518" s="359">
        <f t="shared" ca="1" si="235"/>
        <v>1.0649089712515301</v>
      </c>
      <c r="W518" s="357">
        <f t="shared" ca="1" si="236"/>
        <v>3.0062407435599106</v>
      </c>
      <c r="X518" s="343"/>
      <c r="Y518" s="367" t="str">
        <f t="shared" ca="1" si="254"/>
        <v/>
      </c>
      <c r="Z518" s="368" t="str">
        <f t="shared" ca="1" si="255"/>
        <v/>
      </c>
      <c r="AA518" s="369" t="str">
        <f t="shared" ca="1" si="256"/>
        <v/>
      </c>
      <c r="AB518" s="344"/>
      <c r="AC518" s="363" t="e">
        <f t="shared" ca="1" si="257"/>
        <v>#N/A</v>
      </c>
      <c r="AD518" s="376" t="e">
        <f t="shared" ca="1" si="258"/>
        <v>#N/A</v>
      </c>
      <c r="AE518" s="377">
        <f t="shared" ca="1" si="237"/>
        <v>1398.2305039922492</v>
      </c>
      <c r="AF518" s="344"/>
      <c r="AG518" s="359">
        <f t="shared" ca="1" si="259"/>
        <v>-5.6749006750379447</v>
      </c>
      <c r="AH518" s="357">
        <f t="shared" ca="1" si="260"/>
        <v>-0.35859432192312563</v>
      </c>
    </row>
    <row r="519" spans="1:34" x14ac:dyDescent="0.25">
      <c r="A519" s="402">
        <f t="shared" ca="1" si="238"/>
        <v>0.1</v>
      </c>
      <c r="B519" s="357">
        <f t="shared" ca="1" si="239"/>
        <v>15.499999999999918</v>
      </c>
      <c r="C519" s="342"/>
      <c r="D519" s="359">
        <f t="shared" ca="1" si="240"/>
        <v>-0.29633218504446479</v>
      </c>
      <c r="E519" s="360">
        <f t="shared" ca="1" si="241"/>
        <v>-9.9914305348117729</v>
      </c>
      <c r="F519" s="357">
        <f t="shared" ca="1" si="242"/>
        <v>9.9958239728329694</v>
      </c>
      <c r="G519" s="359">
        <f t="shared" ca="1" si="243"/>
        <v>30.089148713134708</v>
      </c>
      <c r="H519" s="360">
        <f t="shared" ca="1" si="244"/>
        <v>17.441198527763209</v>
      </c>
      <c r="I519" s="357">
        <f t="shared" ca="1" si="245"/>
        <v>34.778618091666402</v>
      </c>
      <c r="J519" s="359">
        <f t="shared" ca="1" si="246"/>
        <v>494.04441557950349</v>
      </c>
      <c r="K519" s="360">
        <f t="shared" ca="1" si="247"/>
        <v>1400.0245809976996</v>
      </c>
      <c r="L519" s="357">
        <f t="shared" ca="1" si="232"/>
        <v>1484.6375692279505</v>
      </c>
      <c r="M519" s="359">
        <f t="shared" ca="1" si="248"/>
        <v>0.52532244013405227</v>
      </c>
      <c r="N519" s="357">
        <f t="shared" ca="1" si="249"/>
        <v>30.098758703195045</v>
      </c>
      <c r="O519" s="343"/>
      <c r="P519" s="363">
        <f t="shared" ca="1" si="250"/>
        <v>23</v>
      </c>
      <c r="Q519" s="357">
        <f t="shared" ca="1" si="251"/>
        <v>0</v>
      </c>
      <c r="R519" s="359">
        <f t="shared" ca="1" si="252"/>
        <v>0</v>
      </c>
      <c r="S519" s="360">
        <f t="shared" ca="1" si="253"/>
        <v>8.6519999999999992</v>
      </c>
      <c r="T519" s="357">
        <f t="shared" ca="1" si="233"/>
        <v>84.87612</v>
      </c>
      <c r="U519" s="364">
        <f t="shared" ca="1" si="234"/>
        <v>0</v>
      </c>
      <c r="V519" s="359">
        <f t="shared" ca="1" si="235"/>
        <v>1.0647169960968126</v>
      </c>
      <c r="W519" s="357">
        <f t="shared" ca="1" si="236"/>
        <v>2.9149992528191282</v>
      </c>
      <c r="X519" s="343"/>
      <c r="Y519" s="367" t="str">
        <f t="shared" ca="1" si="254"/>
        <v/>
      </c>
      <c r="Z519" s="368" t="str">
        <f t="shared" ca="1" si="255"/>
        <v/>
      </c>
      <c r="AA519" s="369" t="str">
        <f t="shared" ca="1" si="256"/>
        <v/>
      </c>
      <c r="AB519" s="344"/>
      <c r="AC519" s="363" t="e">
        <f t="shared" ca="1" si="257"/>
        <v>#N/A</v>
      </c>
      <c r="AD519" s="376" t="e">
        <f t="shared" ca="1" si="258"/>
        <v>#N/A</v>
      </c>
      <c r="AE519" s="377">
        <f t="shared" ca="1" si="237"/>
        <v>1400.0245809976996</v>
      </c>
      <c r="AF519" s="344"/>
      <c r="AG519" s="359">
        <f t="shared" ca="1" si="259"/>
        <v>-5.4698460640182134</v>
      </c>
      <c r="AH519" s="357">
        <f t="shared" ca="1" si="260"/>
        <v>-0.34746194447063233</v>
      </c>
    </row>
    <row r="520" spans="1:34" x14ac:dyDescent="0.25">
      <c r="A520" s="402">
        <f t="shared" ca="1" si="238"/>
        <v>0.1</v>
      </c>
      <c r="B520" s="357">
        <f t="shared" ca="1" si="239"/>
        <v>15.599999999999918</v>
      </c>
      <c r="C520" s="342"/>
      <c r="D520" s="359">
        <f t="shared" ca="1" si="240"/>
        <v>-0.29148721863928634</v>
      </c>
      <c r="E520" s="360">
        <f t="shared" ca="1" si="241"/>
        <v>-9.978960793708799</v>
      </c>
      <c r="F520" s="357">
        <f t="shared" ca="1" si="242"/>
        <v>9.9832170827347735</v>
      </c>
      <c r="G520" s="359">
        <f t="shared" ca="1" si="243"/>
        <v>30.059999991270779</v>
      </c>
      <c r="H520" s="360">
        <f t="shared" ca="1" si="244"/>
        <v>16.44330244839233</v>
      </c>
      <c r="I520" s="357">
        <f t="shared" ca="1" si="245"/>
        <v>34.263476106263717</v>
      </c>
      <c r="J520" s="359">
        <f t="shared" ca="1" si="246"/>
        <v>497.05187301472375</v>
      </c>
      <c r="K520" s="360">
        <f t="shared" ca="1" si="247"/>
        <v>1401.7188060465073</v>
      </c>
      <c r="L520" s="357">
        <f t="shared" ca="1" si="232"/>
        <v>1487.2377670338697</v>
      </c>
      <c r="M520" s="359">
        <f t="shared" ca="1" si="248"/>
        <v>0.50054938393377191</v>
      </c>
      <c r="N520" s="357">
        <f t="shared" ca="1" si="249"/>
        <v>28.679367137278586</v>
      </c>
      <c r="O520" s="343"/>
      <c r="P520" s="363">
        <f t="shared" ca="1" si="250"/>
        <v>23</v>
      </c>
      <c r="Q520" s="357">
        <f t="shared" ca="1" si="251"/>
        <v>0</v>
      </c>
      <c r="R520" s="359">
        <f t="shared" ca="1" si="252"/>
        <v>0</v>
      </c>
      <c r="S520" s="360">
        <f t="shared" ca="1" si="253"/>
        <v>8.6519999999999992</v>
      </c>
      <c r="T520" s="357">
        <f t="shared" ca="1" si="233"/>
        <v>84.87612</v>
      </c>
      <c r="U520" s="364">
        <f t="shared" ca="1" si="234"/>
        <v>0</v>
      </c>
      <c r="V520" s="359">
        <f t="shared" ca="1" si="235"/>
        <v>1.0645357351464828</v>
      </c>
      <c r="W520" s="357">
        <f t="shared" ca="1" si="236"/>
        <v>2.8288030047070323</v>
      </c>
      <c r="X520" s="343"/>
      <c r="Y520" s="367" t="str">
        <f t="shared" ca="1" si="254"/>
        <v/>
      </c>
      <c r="Z520" s="368" t="str">
        <f t="shared" ca="1" si="255"/>
        <v/>
      </c>
      <c r="AA520" s="369" t="str">
        <f t="shared" ca="1" si="256"/>
        <v/>
      </c>
      <c r="AB520" s="344"/>
      <c r="AC520" s="363" t="e">
        <f t="shared" ca="1" si="257"/>
        <v>#N/A</v>
      </c>
      <c r="AD520" s="376" t="e">
        <f t="shared" ca="1" si="258"/>
        <v>#N/A</v>
      </c>
      <c r="AE520" s="377">
        <f t="shared" ca="1" si="237"/>
        <v>1401.7188060465073</v>
      </c>
      <c r="AF520" s="344"/>
      <c r="AG520" s="359">
        <f t="shared" ca="1" si="259"/>
        <v>-5.2565526925654993</v>
      </c>
      <c r="AH520" s="357">
        <f t="shared" ca="1" si="260"/>
        <v>-0.33691623356670464</v>
      </c>
    </row>
    <row r="521" spans="1:34" x14ac:dyDescent="0.25">
      <c r="A521" s="402">
        <f t="shared" ca="1" si="238"/>
        <v>0.1</v>
      </c>
      <c r="B521" s="357">
        <f t="shared" ca="1" si="239"/>
        <v>15.699999999999918</v>
      </c>
      <c r="C521" s="342"/>
      <c r="D521" s="359">
        <f t="shared" ca="1" si="240"/>
        <v>-0.28684266512249107</v>
      </c>
      <c r="E521" s="360">
        <f t="shared" ca="1" si="241"/>
        <v>-9.9669075415529527</v>
      </c>
      <c r="F521" s="357">
        <f t="shared" ca="1" si="242"/>
        <v>9.9710342821795415</v>
      </c>
      <c r="G521" s="359">
        <f t="shared" ca="1" si="243"/>
        <v>30.031315724758528</v>
      </c>
      <c r="H521" s="360">
        <f t="shared" ca="1" si="244"/>
        <v>15.446611694237035</v>
      </c>
      <c r="I521" s="357">
        <f t="shared" ca="1" si="245"/>
        <v>33.770959965518735</v>
      </c>
      <c r="J521" s="359">
        <f t="shared" ca="1" si="246"/>
        <v>500.0564388005252</v>
      </c>
      <c r="K521" s="360">
        <f t="shared" ca="1" si="247"/>
        <v>1403.3133017536388</v>
      </c>
      <c r="L521" s="357">
        <f t="shared" ca="1" si="232"/>
        <v>1489.74651027098</v>
      </c>
      <c r="M521" s="359">
        <f t="shared" ca="1" si="248"/>
        <v>0.47506171139718112</v>
      </c>
      <c r="N521" s="357">
        <f t="shared" ca="1" si="249"/>
        <v>27.219031071320437</v>
      </c>
      <c r="O521" s="343"/>
      <c r="P521" s="363">
        <f t="shared" ca="1" si="250"/>
        <v>23</v>
      </c>
      <c r="Q521" s="357">
        <f t="shared" ca="1" si="251"/>
        <v>0</v>
      </c>
      <c r="R521" s="359">
        <f t="shared" ca="1" si="252"/>
        <v>0</v>
      </c>
      <c r="S521" s="360">
        <f t="shared" ca="1" si="253"/>
        <v>8.6519999999999992</v>
      </c>
      <c r="T521" s="357">
        <f t="shared" ca="1" si="233"/>
        <v>84.87612</v>
      </c>
      <c r="U521" s="364">
        <f t="shared" ca="1" si="234"/>
        <v>0</v>
      </c>
      <c r="V521" s="359">
        <f t="shared" ca="1" si="235"/>
        <v>1.0643651702040582</v>
      </c>
      <c r="W521" s="357">
        <f t="shared" ca="1" si="236"/>
        <v>2.7476226274373539</v>
      </c>
      <c r="X521" s="343"/>
      <c r="Y521" s="367" t="str">
        <f t="shared" ca="1" si="254"/>
        <v/>
      </c>
      <c r="Z521" s="368" t="str">
        <f t="shared" ca="1" si="255"/>
        <v/>
      </c>
      <c r="AA521" s="369" t="str">
        <f t="shared" ca="1" si="256"/>
        <v/>
      </c>
      <c r="AB521" s="344"/>
      <c r="AC521" s="363" t="e">
        <f t="shared" ca="1" si="257"/>
        <v>#N/A</v>
      </c>
      <c r="AD521" s="376" t="e">
        <f t="shared" ca="1" si="258"/>
        <v>#N/A</v>
      </c>
      <c r="AE521" s="377">
        <f t="shared" ca="1" si="237"/>
        <v>1403.3133017536388</v>
      </c>
      <c r="AF521" s="344"/>
      <c r="AG521" s="359">
        <f t="shared" ca="1" si="259"/>
        <v>-5.0348471695333616</v>
      </c>
      <c r="AH521" s="357">
        <f t="shared" ca="1" si="260"/>
        <v>-0.3269536528787601</v>
      </c>
    </row>
    <row r="522" spans="1:34" x14ac:dyDescent="0.25">
      <c r="A522" s="402">
        <f t="shared" ca="1" si="238"/>
        <v>0.1</v>
      </c>
      <c r="B522" s="357">
        <f t="shared" ca="1" si="239"/>
        <v>15.799999999999917</v>
      </c>
      <c r="C522" s="342"/>
      <c r="D522" s="359">
        <f t="shared" ca="1" si="240"/>
        <v>-0.28240444447018881</v>
      </c>
      <c r="E522" s="360">
        <f t="shared" ca="1" si="241"/>
        <v>-9.9552547678709082</v>
      </c>
      <c r="F522" s="357">
        <f t="shared" ca="1" si="242"/>
        <v>9.9592594987515497</v>
      </c>
      <c r="G522" s="359">
        <f t="shared" ca="1" si="243"/>
        <v>30.00307528031151</v>
      </c>
      <c r="H522" s="360">
        <f t="shared" ca="1" si="244"/>
        <v>14.451086217449944</v>
      </c>
      <c r="I522" s="357">
        <f t="shared" ca="1" si="245"/>
        <v>33.301928159495681</v>
      </c>
      <c r="J522" s="359">
        <f t="shared" ca="1" si="246"/>
        <v>503.05815835077868</v>
      </c>
      <c r="K522" s="360">
        <f t="shared" ca="1" si="247"/>
        <v>1404.8081866492232</v>
      </c>
      <c r="L522" s="357">
        <f t="shared" ca="1" si="232"/>
        <v>1492.1640499489174</v>
      </c>
      <c r="M522" s="359">
        <f t="shared" ca="1" si="248"/>
        <v>0.44886297988795076</v>
      </c>
      <c r="N522" s="357">
        <f t="shared" ca="1" si="249"/>
        <v>25.717954327245131</v>
      </c>
      <c r="O522" s="343"/>
      <c r="P522" s="363">
        <f t="shared" ca="1" si="250"/>
        <v>23</v>
      </c>
      <c r="Q522" s="357">
        <f t="shared" ca="1" si="251"/>
        <v>0</v>
      </c>
      <c r="R522" s="359">
        <f t="shared" ca="1" si="252"/>
        <v>0</v>
      </c>
      <c r="S522" s="360">
        <f t="shared" ca="1" si="253"/>
        <v>8.6519999999999992</v>
      </c>
      <c r="T522" s="357">
        <f t="shared" ca="1" si="233"/>
        <v>84.87612</v>
      </c>
      <c r="U522" s="364">
        <f t="shared" ca="1" si="234"/>
        <v>0</v>
      </c>
      <c r="V522" s="359">
        <f t="shared" ca="1" si="235"/>
        <v>1.0642052838185518</v>
      </c>
      <c r="W522" s="357">
        <f t="shared" ca="1" si="236"/>
        <v>2.671429933405129</v>
      </c>
      <c r="X522" s="343"/>
      <c r="Y522" s="367" t="str">
        <f t="shared" ca="1" si="254"/>
        <v/>
      </c>
      <c r="Z522" s="368" t="str">
        <f t="shared" ca="1" si="255"/>
        <v/>
      </c>
      <c r="AA522" s="369" t="str">
        <f t="shared" ca="1" si="256"/>
        <v/>
      </c>
      <c r="AB522" s="344"/>
      <c r="AC522" s="363" t="e">
        <f t="shared" ca="1" si="257"/>
        <v>#N/A</v>
      </c>
      <c r="AD522" s="376" t="e">
        <f t="shared" ca="1" si="258"/>
        <v>#N/A</v>
      </c>
      <c r="AE522" s="377">
        <f t="shared" ca="1" si="237"/>
        <v>1404.8081866492232</v>
      </c>
      <c r="AF522" s="344"/>
      <c r="AG522" s="359">
        <f t="shared" ca="1" si="259"/>
        <v>-4.8045993337510016</v>
      </c>
      <c r="AH522" s="357">
        <f t="shared" ca="1" si="260"/>
        <v>-0.31757080760949541</v>
      </c>
    </row>
    <row r="523" spans="1:34" x14ac:dyDescent="0.25">
      <c r="A523" s="402">
        <f t="shared" ca="1" si="238"/>
        <v>0.1</v>
      </c>
      <c r="B523" s="357">
        <f t="shared" ca="1" si="239"/>
        <v>15.899999999999917</v>
      </c>
      <c r="C523" s="342"/>
      <c r="D523" s="359">
        <f t="shared" ca="1" si="240"/>
        <v>-0.27817856935251456</v>
      </c>
      <c r="E523" s="360">
        <f t="shared" ca="1" si="241"/>
        <v>-9.9439856815343877</v>
      </c>
      <c r="F523" s="357">
        <f t="shared" ca="1" si="242"/>
        <v>9.9478758813632133</v>
      </c>
      <c r="G523" s="359">
        <f t="shared" ca="1" si="243"/>
        <v>29.975257423376259</v>
      </c>
      <c r="H523" s="360">
        <f t="shared" ca="1" si="244"/>
        <v>13.456687649296505</v>
      </c>
      <c r="I523" s="357">
        <f t="shared" ca="1" si="245"/>
        <v>32.857244255847185</v>
      </c>
      <c r="J523" s="359">
        <f t="shared" ca="1" si="246"/>
        <v>506.05707498596308</v>
      </c>
      <c r="K523" s="360">
        <f t="shared" ca="1" si="247"/>
        <v>1406.2035753425605</v>
      </c>
      <c r="L523" s="357">
        <f t="shared" ca="1" si="232"/>
        <v>1494.4906351160414</v>
      </c>
      <c r="M523" s="359">
        <f t="shared" ca="1" si="248"/>
        <v>0.42196085097892166</v>
      </c>
      <c r="N523" s="357">
        <f t="shared" ca="1" si="249"/>
        <v>24.176575880840883</v>
      </c>
      <c r="O523" s="343"/>
      <c r="P523" s="363">
        <f t="shared" ca="1" si="250"/>
        <v>23</v>
      </c>
      <c r="Q523" s="357">
        <f t="shared" ca="1" si="251"/>
        <v>0</v>
      </c>
      <c r="R523" s="359">
        <f t="shared" ca="1" si="252"/>
        <v>0</v>
      </c>
      <c r="S523" s="360">
        <f t="shared" ca="1" si="253"/>
        <v>8.6519999999999992</v>
      </c>
      <c r="T523" s="357">
        <f t="shared" ca="1" si="233"/>
        <v>84.87612</v>
      </c>
      <c r="U523" s="364">
        <f t="shared" ca="1" si="234"/>
        <v>0</v>
      </c>
      <c r="V523" s="359">
        <f t="shared" ca="1" si="235"/>
        <v>1.0640560592650941</v>
      </c>
      <c r="W523" s="357">
        <f t="shared" ca="1" si="236"/>
        <v>2.6001978779705643</v>
      </c>
      <c r="X523" s="343"/>
      <c r="Y523" s="367" t="str">
        <f t="shared" ca="1" si="254"/>
        <v/>
      </c>
      <c r="Z523" s="368" t="str">
        <f t="shared" ca="1" si="255"/>
        <v/>
      </c>
      <c r="AA523" s="369" t="str">
        <f t="shared" ca="1" si="256"/>
        <v/>
      </c>
      <c r="AB523" s="344"/>
      <c r="AC523" s="363" t="e">
        <f t="shared" ca="1" si="257"/>
        <v>#N/A</v>
      </c>
      <c r="AD523" s="376" t="e">
        <f t="shared" ca="1" si="258"/>
        <v>#N/A</v>
      </c>
      <c r="AE523" s="377">
        <f t="shared" ca="1" si="237"/>
        <v>1406.2035753425605</v>
      </c>
      <c r="AF523" s="344"/>
      <c r="AG523" s="359">
        <f t="shared" ca="1" si="259"/>
        <v>-4.5657298357734675</v>
      </c>
      <c r="AH523" s="357">
        <f t="shared" ca="1" si="260"/>
        <v>-0.30876443982953411</v>
      </c>
    </row>
    <row r="524" spans="1:34" x14ac:dyDescent="0.25">
      <c r="A524" s="402">
        <f t="shared" ca="1" si="238"/>
        <v>0.1</v>
      </c>
      <c r="B524" s="357">
        <f t="shared" ca="1" si="239"/>
        <v>15.999999999999917</v>
      </c>
      <c r="C524" s="342"/>
      <c r="D524" s="359">
        <f t="shared" ca="1" si="240"/>
        <v>-0.27417109966632452</v>
      </c>
      <c r="E524" s="360">
        <f t="shared" ca="1" si="241"/>
        <v>-9.9330826744392411</v>
      </c>
      <c r="F524" s="357">
        <f t="shared" ca="1" si="242"/>
        <v>9.9368657638682656</v>
      </c>
      <c r="G524" s="359">
        <f t="shared" ca="1" si="243"/>
        <v>29.947840313409628</v>
      </c>
      <c r="H524" s="360">
        <f t="shared" ca="1" si="244"/>
        <v>12.463379381852581</v>
      </c>
      <c r="I524" s="357">
        <f t="shared" ca="1" si="245"/>
        <v>32.437770654801028</v>
      </c>
      <c r="J524" s="359">
        <f t="shared" ca="1" si="246"/>
        <v>509.05322987280238</v>
      </c>
      <c r="K524" s="360">
        <f t="shared" ca="1" si="247"/>
        <v>1407.4995786941179</v>
      </c>
      <c r="L524" s="357">
        <f t="shared" ca="1" si="232"/>
        <v>1496.726513050414</v>
      </c>
      <c r="M524" s="359">
        <f t="shared" ca="1" si="248"/>
        <v>0.39436747067163819</v>
      </c>
      <c r="N524" s="357">
        <f t="shared" ca="1" si="249"/>
        <v>22.595591646734142</v>
      </c>
      <c r="O524" s="343"/>
      <c r="P524" s="363">
        <f t="shared" ca="1" si="250"/>
        <v>23</v>
      </c>
      <c r="Q524" s="357">
        <f t="shared" ca="1" si="251"/>
        <v>0</v>
      </c>
      <c r="R524" s="359">
        <f t="shared" ca="1" si="252"/>
        <v>0</v>
      </c>
      <c r="S524" s="360">
        <f t="shared" ca="1" si="253"/>
        <v>8.6519999999999992</v>
      </c>
      <c r="T524" s="357">
        <f t="shared" ca="1" si="233"/>
        <v>84.87612</v>
      </c>
      <c r="U524" s="364">
        <f t="shared" ca="1" si="234"/>
        <v>0</v>
      </c>
      <c r="V524" s="359">
        <f t="shared" ca="1" si="235"/>
        <v>1.063917480524788</v>
      </c>
      <c r="W524" s="357">
        <f t="shared" ca="1" si="236"/>
        <v>2.5339005173176865</v>
      </c>
      <c r="X524" s="343"/>
      <c r="Y524" s="367" t="str">
        <f t="shared" ca="1" si="254"/>
        <v/>
      </c>
      <c r="Z524" s="368" t="str">
        <f t="shared" ca="1" si="255"/>
        <v>Para</v>
      </c>
      <c r="AA524" s="369" t="str">
        <f t="shared" ca="1" si="256"/>
        <v/>
      </c>
      <c r="AB524" s="344"/>
      <c r="AC524" s="363">
        <f t="shared" ca="1" si="257"/>
        <v>15.999999999999917</v>
      </c>
      <c r="AD524" s="376">
        <f t="shared" ca="1" si="258"/>
        <v>509.05322987280238</v>
      </c>
      <c r="AE524" s="377">
        <f t="shared" ca="1" si="237"/>
        <v>1407.4995786941179</v>
      </c>
      <c r="AF524" s="344"/>
      <c r="AG524" s="359">
        <f t="shared" ca="1" si="259"/>
        <v>-4.3182178983213566</v>
      </c>
      <c r="AH524" s="357">
        <f t="shared" ca="1" si="260"/>
        <v>-0.30053142371365749</v>
      </c>
    </row>
    <row r="525" spans="1:34" x14ac:dyDescent="0.25">
      <c r="A525" s="402">
        <f t="shared" ca="1" si="238"/>
        <v>0.1</v>
      </c>
      <c r="B525" s="357">
        <f t="shared" ca="1" si="239"/>
        <v>16.099999999999916</v>
      </c>
      <c r="C525" s="342"/>
      <c r="D525" s="359">
        <f t="shared" ca="1" si="240"/>
        <v>-0.27038809080537513</v>
      </c>
      <c r="E525" s="360">
        <f t="shared" ca="1" si="241"/>
        <v>-9.9225272914766158</v>
      </c>
      <c r="F525" s="357">
        <f t="shared" ca="1" si="242"/>
        <v>9.9262106349677897</v>
      </c>
      <c r="G525" s="359">
        <f t="shared" ca="1" si="243"/>
        <v>29.920801504329091</v>
      </c>
      <c r="H525" s="360">
        <f t="shared" ca="1" si="244"/>
        <v>11.471126652704919</v>
      </c>
      <c r="I525" s="357">
        <f t="shared" ca="1" si="245"/>
        <v>32.044361584276558</v>
      </c>
      <c r="J525" s="359">
        <f t="shared" ca="1" si="246"/>
        <v>512.0466619636893</v>
      </c>
      <c r="K525" s="360">
        <f t="shared" ca="1" si="247"/>
        <v>1408.6963039958457</v>
      </c>
      <c r="L525" s="357">
        <f t="shared" ca="1" si="232"/>
        <v>1498.8719294588557</v>
      </c>
      <c r="M525" s="359">
        <f t="shared" ca="1" si="248"/>
        <v>0.36609981887076687</v>
      </c>
      <c r="N525" s="357">
        <f t="shared" ca="1" si="249"/>
        <v>20.975974501798834</v>
      </c>
      <c r="O525" s="343"/>
      <c r="P525" s="363">
        <f t="shared" ca="1" si="250"/>
        <v>23</v>
      </c>
      <c r="Q525" s="357">
        <f t="shared" ca="1" si="251"/>
        <v>0</v>
      </c>
      <c r="R525" s="359">
        <f t="shared" ca="1" si="252"/>
        <v>0</v>
      </c>
      <c r="S525" s="360">
        <f t="shared" ca="1" si="253"/>
        <v>8.6519999999999992</v>
      </c>
      <c r="T525" s="357">
        <f t="shared" ca="1" si="233"/>
        <v>84.87612</v>
      </c>
      <c r="U525" s="364">
        <f t="shared" ca="1" si="234"/>
        <v>0</v>
      </c>
      <c r="V525" s="359">
        <f t="shared" ca="1" si="235"/>
        <v>1.0637895322637816</v>
      </c>
      <c r="W525" s="357">
        <f t="shared" ca="1" si="236"/>
        <v>2.4725129653078874</v>
      </c>
      <c r="X525" s="343"/>
      <c r="Y525" s="367" t="str">
        <f t="shared" ca="1" si="254"/>
        <v/>
      </c>
      <c r="Z525" s="368" t="str">
        <f t="shared" ca="1" si="255"/>
        <v/>
      </c>
      <c r="AA525" s="369" t="str">
        <f t="shared" ca="1" si="256"/>
        <v/>
      </c>
      <c r="AB525" s="344"/>
      <c r="AC525" s="363" t="e">
        <f t="shared" ca="1" si="257"/>
        <v>#N/A</v>
      </c>
      <c r="AD525" s="376" t="e">
        <f t="shared" ca="1" si="258"/>
        <v>#N/A</v>
      </c>
      <c r="AE525" s="377" t="e">
        <f t="shared" ca="1" si="237"/>
        <v>#N/A</v>
      </c>
      <c r="AF525" s="344"/>
      <c r="AG525" s="359">
        <f t="shared" ca="1" si="259"/>
        <v>-4.0621090403770994</v>
      </c>
      <c r="AH525" s="357">
        <f t="shared" ca="1" si="260"/>
        <v>-0.29286876067009787</v>
      </c>
    </row>
    <row r="526" spans="1:34" x14ac:dyDescent="0.25">
      <c r="A526" s="402">
        <f t="shared" ca="1" si="238"/>
        <v>0.1</v>
      </c>
      <c r="B526" s="357">
        <f t="shared" ca="1" si="239"/>
        <v>16.199999999999918</v>
      </c>
      <c r="C526" s="342"/>
      <c r="D526" s="359">
        <f t="shared" ca="1" si="240"/>
        <v>-0.2668355358221316</v>
      </c>
      <c r="E526" s="360">
        <f t="shared" ca="1" si="241"/>
        <v>-9.9123002083154486</v>
      </c>
      <c r="F526" s="357">
        <f t="shared" ca="1" si="242"/>
        <v>9.9158911159284102</v>
      </c>
      <c r="G526" s="359">
        <f t="shared" ca="1" si="243"/>
        <v>29.894117950746878</v>
      </c>
      <c r="H526" s="360">
        <f t="shared" ca="1" si="244"/>
        <v>10.479896631873375</v>
      </c>
      <c r="I526" s="357">
        <f t="shared" ca="1" si="245"/>
        <v>31.677855379869353</v>
      </c>
      <c r="J526" s="359">
        <f t="shared" ca="1" si="246"/>
        <v>515.03740793644306</v>
      </c>
      <c r="K526" s="360">
        <f t="shared" ca="1" si="247"/>
        <v>1409.7938551600746</v>
      </c>
      <c r="L526" s="357">
        <f t="shared" ca="1" si="232"/>
        <v>1500.927128684466</v>
      </c>
      <c r="M526" s="359">
        <f t="shared" ca="1" si="248"/>
        <v>0.33718001294965189</v>
      </c>
      <c r="N526" s="357">
        <f t="shared" ca="1" si="249"/>
        <v>19.318991678181497</v>
      </c>
      <c r="O526" s="343"/>
      <c r="P526" s="363">
        <f t="shared" ca="1" si="250"/>
        <v>23</v>
      </c>
      <c r="Q526" s="357">
        <f t="shared" ca="1" si="251"/>
        <v>0</v>
      </c>
      <c r="R526" s="359">
        <f t="shared" ca="1" si="252"/>
        <v>0</v>
      </c>
      <c r="S526" s="360">
        <f t="shared" ca="1" si="253"/>
        <v>8.6519999999999992</v>
      </c>
      <c r="T526" s="357">
        <f t="shared" ca="1" si="233"/>
        <v>84.87612</v>
      </c>
      <c r="U526" s="364">
        <f t="shared" ca="1" si="234"/>
        <v>0</v>
      </c>
      <c r="V526" s="359">
        <f t="shared" ca="1" si="235"/>
        <v>1.0636721998115028</v>
      </c>
      <c r="W526" s="357">
        <f t="shared" ca="1" si="236"/>
        <v>2.4160113492622317</v>
      </c>
      <c r="X526" s="343"/>
      <c r="Y526" s="367" t="str">
        <f t="shared" ca="1" si="254"/>
        <v/>
      </c>
      <c r="Z526" s="368" t="str">
        <f t="shared" ca="1" si="255"/>
        <v/>
      </c>
      <c r="AA526" s="369" t="str">
        <f t="shared" ca="1" si="256"/>
        <v/>
      </c>
      <c r="AB526" s="344"/>
      <c r="AC526" s="363" t="e">
        <f t="shared" ca="1" si="257"/>
        <v>#N/A</v>
      </c>
      <c r="AD526" s="376" t="e">
        <f t="shared" ca="1" si="258"/>
        <v>#N/A</v>
      </c>
      <c r="AE526" s="377" t="e">
        <f t="shared" ca="1" si="237"/>
        <v>#N/A</v>
      </c>
      <c r="AF526" s="344"/>
      <c r="AG526" s="359">
        <f t="shared" ca="1" si="259"/>
        <v>-3.7975225030092439</v>
      </c>
      <c r="AH526" s="357">
        <f t="shared" ca="1" si="260"/>
        <v>-0.28577357435366246</v>
      </c>
    </row>
    <row r="527" spans="1:34" x14ac:dyDescent="0.25">
      <c r="A527" s="402">
        <f t="shared" ca="1" si="238"/>
        <v>0.1</v>
      </c>
      <c r="B527" s="357">
        <f t="shared" ca="1" si="239"/>
        <v>16.299999999999919</v>
      </c>
      <c r="C527" s="342"/>
      <c r="D527" s="359">
        <f t="shared" ca="1" si="240"/>
        <v>-0.26351930186852646</v>
      </c>
      <c r="E527" s="360">
        <f t="shared" ca="1" si="241"/>
        <v>-9.9023812185606435</v>
      </c>
      <c r="F527" s="357">
        <f t="shared" ca="1" si="242"/>
        <v>9.9058869476771161</v>
      </c>
      <c r="G527" s="359">
        <f t="shared" ca="1" si="243"/>
        <v>29.867766020560026</v>
      </c>
      <c r="H527" s="360">
        <f t="shared" ca="1" si="244"/>
        <v>9.4896585100173105</v>
      </c>
      <c r="I527" s="357">
        <f t="shared" ca="1" si="245"/>
        <v>31.33906612673173</v>
      </c>
      <c r="J527" s="359">
        <f t="shared" ca="1" si="246"/>
        <v>518.02550213500842</v>
      </c>
      <c r="K527" s="360">
        <f t="shared" ca="1" si="247"/>
        <v>1410.7923329171692</v>
      </c>
      <c r="L527" s="357">
        <f t="shared" ca="1" si="232"/>
        <v>1502.8923539229602</v>
      </c>
      <c r="M527" s="359">
        <f t="shared" ca="1" si="248"/>
        <v>0.30763554922960973</v>
      </c>
      <c r="N527" s="357">
        <f t="shared" ca="1" si="249"/>
        <v>17.6262185990457</v>
      </c>
      <c r="O527" s="343"/>
      <c r="P527" s="363">
        <f t="shared" ca="1" si="250"/>
        <v>23</v>
      </c>
      <c r="Q527" s="357">
        <f t="shared" ca="1" si="251"/>
        <v>0</v>
      </c>
      <c r="R527" s="359">
        <f t="shared" ca="1" si="252"/>
        <v>0</v>
      </c>
      <c r="S527" s="360">
        <f t="shared" ca="1" si="253"/>
        <v>8.6519999999999992</v>
      </c>
      <c r="T527" s="357">
        <f t="shared" ca="1" si="233"/>
        <v>84.87612</v>
      </c>
      <c r="U527" s="364">
        <f t="shared" ca="1" si="234"/>
        <v>0</v>
      </c>
      <c r="V527" s="359">
        <f t="shared" ca="1" si="235"/>
        <v>1.0635654691380527</v>
      </c>
      <c r="W527" s="357">
        <f t="shared" ca="1" si="236"/>
        <v>2.3643727646231834</v>
      </c>
      <c r="X527" s="343"/>
      <c r="Y527" s="367" t="str">
        <f t="shared" ca="1" si="254"/>
        <v/>
      </c>
      <c r="Z527" s="368" t="str">
        <f t="shared" ca="1" si="255"/>
        <v/>
      </c>
      <c r="AA527" s="369" t="str">
        <f t="shared" ca="1" si="256"/>
        <v/>
      </c>
      <c r="AB527" s="344"/>
      <c r="AC527" s="363" t="e">
        <f t="shared" ca="1" si="257"/>
        <v>#N/A</v>
      </c>
      <c r="AD527" s="376" t="e">
        <f t="shared" ca="1" si="258"/>
        <v>#N/A</v>
      </c>
      <c r="AE527" s="377" t="e">
        <f t="shared" ca="1" si="237"/>
        <v>#N/A</v>
      </c>
      <c r="AF527" s="344"/>
      <c r="AG527" s="359">
        <f t="shared" ca="1" si="259"/>
        <v>-3.5246580721253538</v>
      </c>
      <c r="AH527" s="357">
        <f t="shared" ca="1" si="260"/>
        <v>-0.279243105555043</v>
      </c>
    </row>
    <row r="528" spans="1:34" x14ac:dyDescent="0.25">
      <c r="A528" s="402">
        <f t="shared" ca="1" si="238"/>
        <v>0.1</v>
      </c>
      <c r="B528" s="357">
        <f t="shared" ca="1" si="239"/>
        <v>16.39999999999992</v>
      </c>
      <c r="C528" s="342"/>
      <c r="D528" s="359">
        <f t="shared" ca="1" si="240"/>
        <v>-0.2604450615672434</v>
      </c>
      <c r="E528" s="360">
        <f t="shared" ca="1" si="241"/>
        <v>-9.8927492318371666</v>
      </c>
      <c r="F528" s="357">
        <f t="shared" ca="1" si="242"/>
        <v>9.8961769888229867</v>
      </c>
      <c r="G528" s="359">
        <f t="shared" ca="1" si="243"/>
        <v>29.8417215144033</v>
      </c>
      <c r="H528" s="360">
        <f t="shared" ca="1" si="244"/>
        <v>8.5003835868335944</v>
      </c>
      <c r="I528" s="357">
        <f t="shared" ca="1" si="245"/>
        <v>31.02877477546464</v>
      </c>
      <c r="J528" s="359">
        <f t="shared" ca="1" si="246"/>
        <v>521.01097651175655</v>
      </c>
      <c r="K528" s="360">
        <f t="shared" ca="1" si="247"/>
        <v>1411.6918350220117</v>
      </c>
      <c r="L528" s="357">
        <f t="shared" ca="1" si="232"/>
        <v>1504.767847448087</v>
      </c>
      <c r="M528" s="359">
        <f t="shared" ca="1" si="248"/>
        <v>0.27749946586850804</v>
      </c>
      <c r="N528" s="357">
        <f t="shared" ca="1" si="249"/>
        <v>15.89954821140015</v>
      </c>
      <c r="O528" s="343"/>
      <c r="P528" s="363">
        <f t="shared" ca="1" si="250"/>
        <v>23</v>
      </c>
      <c r="Q528" s="357">
        <f t="shared" ca="1" si="251"/>
        <v>0</v>
      </c>
      <c r="R528" s="359">
        <f t="shared" ca="1" si="252"/>
        <v>0</v>
      </c>
      <c r="S528" s="360">
        <f t="shared" ca="1" si="253"/>
        <v>8.6519999999999992</v>
      </c>
      <c r="T528" s="357">
        <f t="shared" ca="1" si="233"/>
        <v>84.87612</v>
      </c>
      <c r="U528" s="364">
        <f t="shared" ca="1" si="234"/>
        <v>0</v>
      </c>
      <c r="V528" s="359">
        <f t="shared" ca="1" si="235"/>
        <v>1.0634693268307367</v>
      </c>
      <c r="W528" s="357">
        <f t="shared" ca="1" si="236"/>
        <v>2.317575228465909</v>
      </c>
      <c r="X528" s="343"/>
      <c r="Y528" s="367" t="str">
        <f t="shared" ca="1" si="254"/>
        <v/>
      </c>
      <c r="Z528" s="368" t="str">
        <f t="shared" ca="1" si="255"/>
        <v/>
      </c>
      <c r="AA528" s="369" t="str">
        <f t="shared" ca="1" si="256"/>
        <v/>
      </c>
      <c r="AB528" s="344"/>
      <c r="AC528" s="363" t="e">
        <f t="shared" ca="1" si="257"/>
        <v>#N/A</v>
      </c>
      <c r="AD528" s="376" t="e">
        <f t="shared" ca="1" si="258"/>
        <v>#N/A</v>
      </c>
      <c r="AE528" s="377" t="e">
        <f t="shared" ca="1" si="237"/>
        <v>#N/A</v>
      </c>
      <c r="AF528" s="344"/>
      <c r="AG528" s="359">
        <f t="shared" ca="1" si="259"/>
        <v>-3.2438019590111247</v>
      </c>
      <c r="AH528" s="357">
        <f t="shared" ca="1" si="260"/>
        <v>-0.27327470696060835</v>
      </c>
    </row>
    <row r="529" spans="1:34" x14ac:dyDescent="0.25">
      <c r="A529" s="402">
        <f t="shared" ca="1" si="238"/>
        <v>0.1</v>
      </c>
      <c r="B529" s="357">
        <f t="shared" ca="1" si="239"/>
        <v>16.499999999999922</v>
      </c>
      <c r="C529" s="342"/>
      <c r="D529" s="359">
        <f t="shared" ca="1" si="240"/>
        <v>-0.2576182202511878</v>
      </c>
      <c r="E529" s="360">
        <f t="shared" ca="1" si="241"/>
        <v>-9.8833822842638472</v>
      </c>
      <c r="F529" s="357">
        <f t="shared" ca="1" si="242"/>
        <v>9.8867392260697287</v>
      </c>
      <c r="G529" s="359">
        <f t="shared" ca="1" si="243"/>
        <v>29.815959692378183</v>
      </c>
      <c r="H529" s="360">
        <f t="shared" ca="1" si="244"/>
        <v>7.5120453584072093</v>
      </c>
      <c r="I529" s="357">
        <f t="shared" ca="1" si="245"/>
        <v>30.747719880412074</v>
      </c>
      <c r="J529" s="359">
        <f t="shared" ca="1" si="246"/>
        <v>523.99386057209563</v>
      </c>
      <c r="K529" s="360">
        <f t="shared" ca="1" si="247"/>
        <v>1412.4924564692737</v>
      </c>
      <c r="L529" s="357">
        <f t="shared" ca="1" si="232"/>
        <v>1506.5538508463121</v>
      </c>
      <c r="M529" s="359">
        <f t="shared" ca="1" si="248"/>
        <v>0.24681041120043046</v>
      </c>
      <c r="N529" s="357">
        <f t="shared" ca="1" si="249"/>
        <v>14.141194901673048</v>
      </c>
      <c r="O529" s="343"/>
      <c r="P529" s="363">
        <f t="shared" ca="1" si="250"/>
        <v>23</v>
      </c>
      <c r="Q529" s="357">
        <f t="shared" ca="1" si="251"/>
        <v>0</v>
      </c>
      <c r="R529" s="359">
        <f t="shared" ca="1" si="252"/>
        <v>0</v>
      </c>
      <c r="S529" s="360">
        <f t="shared" ca="1" si="253"/>
        <v>8.6519999999999992</v>
      </c>
      <c r="T529" s="357">
        <f t="shared" ca="1" si="233"/>
        <v>84.87612</v>
      </c>
      <c r="U529" s="364">
        <f t="shared" ca="1" si="234"/>
        <v>0</v>
      </c>
      <c r="V529" s="359">
        <f t="shared" ca="1" si="235"/>
        <v>1.0633837600697353</v>
      </c>
      <c r="W529" s="357">
        <f t="shared" ca="1" si="236"/>
        <v>2.2755976318516877</v>
      </c>
      <c r="X529" s="343"/>
      <c r="Y529" s="367" t="str">
        <f t="shared" ca="1" si="254"/>
        <v/>
      </c>
      <c r="Z529" s="368" t="str">
        <f t="shared" ca="1" si="255"/>
        <v/>
      </c>
      <c r="AA529" s="369" t="str">
        <f t="shared" ca="1" si="256"/>
        <v/>
      </c>
      <c r="AB529" s="344"/>
      <c r="AC529" s="363" t="e">
        <f t="shared" ca="1" si="257"/>
        <v>#N/A</v>
      </c>
      <c r="AD529" s="376" t="e">
        <f t="shared" ca="1" si="258"/>
        <v>#N/A</v>
      </c>
      <c r="AE529" s="377" t="e">
        <f t="shared" ca="1" si="237"/>
        <v>#N/A</v>
      </c>
      <c r="AF529" s="344"/>
      <c r="AG529" s="359">
        <f t="shared" ca="1" si="259"/>
        <v>-2.9553313787252926</v>
      </c>
      <c r="AH529" s="357">
        <f t="shared" ca="1" si="260"/>
        <v>-0.26786583777923129</v>
      </c>
    </row>
    <row r="530" spans="1:34" x14ac:dyDescent="0.25">
      <c r="A530" s="402">
        <f t="shared" ca="1" si="238"/>
        <v>0.1</v>
      </c>
      <c r="B530" s="357">
        <f t="shared" ca="1" si="239"/>
        <v>16.599999999999923</v>
      </c>
      <c r="C530" s="342"/>
      <c r="D530" s="359">
        <f t="shared" ca="1" si="240"/>
        <v>-0.25504384030335375</v>
      </c>
      <c r="E530" s="360">
        <f t="shared" ca="1" si="241"/>
        <v>-9.8742575626110387</v>
      </c>
      <c r="F530" s="357">
        <f t="shared" ca="1" si="242"/>
        <v>9.8775507983132123</v>
      </c>
      <c r="G530" s="359">
        <f t="shared" ca="1" si="243"/>
        <v>29.790455308347848</v>
      </c>
      <c r="H530" s="360">
        <f t="shared" ca="1" si="244"/>
        <v>6.5246196021461049</v>
      </c>
      <c r="I530" s="357">
        <f t="shared" ca="1" si="245"/>
        <v>30.496588144108507</v>
      </c>
      <c r="J530" s="359">
        <f t="shared" ca="1" si="246"/>
        <v>526.97418132213193</v>
      </c>
      <c r="K530" s="360">
        <f t="shared" ca="1" si="247"/>
        <v>1413.1942897173014</v>
      </c>
      <c r="L530" s="357">
        <f t="shared" ca="1" si="232"/>
        <v>1508.2506052608496</v>
      </c>
      <c r="M530" s="359">
        <f t="shared" ca="1" si="248"/>
        <v>0.21561260314140571</v>
      </c>
      <c r="N530" s="357">
        <f t="shared" ca="1" si="249"/>
        <v>12.353692169831703</v>
      </c>
      <c r="O530" s="343"/>
      <c r="P530" s="363">
        <f t="shared" ca="1" si="250"/>
        <v>23</v>
      </c>
      <c r="Q530" s="357">
        <f t="shared" ca="1" si="251"/>
        <v>0</v>
      </c>
      <c r="R530" s="359">
        <f t="shared" ca="1" si="252"/>
        <v>0</v>
      </c>
      <c r="S530" s="360">
        <f t="shared" ca="1" si="253"/>
        <v>8.6519999999999992</v>
      </c>
      <c r="T530" s="357">
        <f t="shared" ca="1" si="233"/>
        <v>84.87612</v>
      </c>
      <c r="U530" s="364">
        <f t="shared" ca="1" si="234"/>
        <v>0</v>
      </c>
      <c r="V530" s="359">
        <f t="shared" ca="1" si="235"/>
        <v>1.0633087566029318</v>
      </c>
      <c r="W530" s="357">
        <f t="shared" ca="1" si="236"/>
        <v>2.2384196910408427</v>
      </c>
      <c r="X530" s="343"/>
      <c r="Y530" s="367" t="str">
        <f t="shared" ca="1" si="254"/>
        <v/>
      </c>
      <c r="Z530" s="368" t="str">
        <f t="shared" ca="1" si="255"/>
        <v/>
      </c>
      <c r="AA530" s="369" t="str">
        <f t="shared" ca="1" si="256"/>
        <v/>
      </c>
      <c r="AB530" s="344"/>
      <c r="AC530" s="363" t="e">
        <f t="shared" ca="1" si="257"/>
        <v>#N/A</v>
      </c>
      <c r="AD530" s="376" t="e">
        <f t="shared" ca="1" si="258"/>
        <v>#N/A</v>
      </c>
      <c r="AE530" s="377" t="e">
        <f t="shared" ca="1" si="237"/>
        <v>#N/A</v>
      </c>
      <c r="AF530" s="344"/>
      <c r="AG530" s="359">
        <f t="shared" ca="1" si="259"/>
        <v>-2.6597174642956865</v>
      </c>
      <c r="AH530" s="357">
        <f t="shared" ca="1" si="260"/>
        <v>-0.26301405823528523</v>
      </c>
    </row>
    <row r="531" spans="1:34" x14ac:dyDescent="0.25">
      <c r="A531" s="402">
        <f t="shared" ca="1" si="238"/>
        <v>0.1</v>
      </c>
      <c r="B531" s="357">
        <f t="shared" ca="1" si="239"/>
        <v>16.699999999999925</v>
      </c>
      <c r="C531" s="342"/>
      <c r="D531" s="359">
        <f t="shared" ca="1" si="240"/>
        <v>-0.25272656411498079</v>
      </c>
      <c r="E531" s="360">
        <f t="shared" ca="1" si="241"/>
        <v>-9.8653514431766869</v>
      </c>
      <c r="F531" s="357">
        <f t="shared" ca="1" si="242"/>
        <v>9.8685880354586537</v>
      </c>
      <c r="G531" s="359">
        <f t="shared" ca="1" si="243"/>
        <v>29.76518265193635</v>
      </c>
      <c r="H531" s="360">
        <f t="shared" ca="1" si="244"/>
        <v>5.5380844578284361</v>
      </c>
      <c r="I531" s="357">
        <f t="shared" ca="1" si="245"/>
        <v>30.276004983570296</v>
      </c>
      <c r="J531" s="359">
        <f t="shared" ca="1" si="246"/>
        <v>529.95196322014613</v>
      </c>
      <c r="K531" s="360">
        <f t="shared" ca="1" si="247"/>
        <v>1413.7974249203003</v>
      </c>
      <c r="L531" s="357">
        <f t="shared" ca="1" si="232"/>
        <v>1509.8583516450008</v>
      </c>
      <c r="M531" s="359">
        <f t="shared" ca="1" si="248"/>
        <v>0.18395566796987625</v>
      </c>
      <c r="N531" s="357">
        <f t="shared" ca="1" si="249"/>
        <v>10.53988339218381</v>
      </c>
      <c r="O531" s="343"/>
      <c r="P531" s="363">
        <f t="shared" ca="1" si="250"/>
        <v>23</v>
      </c>
      <c r="Q531" s="357">
        <f t="shared" ca="1" si="251"/>
        <v>0</v>
      </c>
      <c r="R531" s="359">
        <f t="shared" ca="1" si="252"/>
        <v>0</v>
      </c>
      <c r="S531" s="360">
        <f t="shared" ca="1" si="253"/>
        <v>8.6519999999999992</v>
      </c>
      <c r="T531" s="357">
        <f t="shared" ca="1" si="233"/>
        <v>84.87612</v>
      </c>
      <c r="U531" s="364">
        <f t="shared" ca="1" si="234"/>
        <v>0</v>
      </c>
      <c r="V531" s="359">
        <f t="shared" ca="1" si="235"/>
        <v>1.0632443047199218</v>
      </c>
      <c r="W531" s="357">
        <f t="shared" ca="1" si="236"/>
        <v>2.2060218976095873</v>
      </c>
      <c r="X531" s="343"/>
      <c r="Y531" s="367" t="str">
        <f t="shared" ca="1" si="254"/>
        <v/>
      </c>
      <c r="Z531" s="368" t="str">
        <f t="shared" ca="1" si="255"/>
        <v/>
      </c>
      <c r="AA531" s="369" t="str">
        <f t="shared" ca="1" si="256"/>
        <v/>
      </c>
      <c r="AB531" s="344"/>
      <c r="AC531" s="363" t="e">
        <f t="shared" ca="1" si="257"/>
        <v>#N/A</v>
      </c>
      <c r="AD531" s="376" t="e">
        <f t="shared" ca="1" si="258"/>
        <v>#N/A</v>
      </c>
      <c r="AE531" s="377" t="e">
        <f t="shared" ca="1" si="237"/>
        <v>#N/A</v>
      </c>
      <c r="AF531" s="344"/>
      <c r="AG531" s="359">
        <f t="shared" ca="1" si="259"/>
        <v>-2.3575261757797641</v>
      </c>
      <c r="AH531" s="357">
        <f t="shared" ca="1" si="260"/>
        <v>-0.25871702392982465</v>
      </c>
    </row>
    <row r="532" spans="1:34" x14ac:dyDescent="0.25">
      <c r="A532" s="402">
        <f t="shared" ca="1" si="238"/>
        <v>0.1</v>
      </c>
      <c r="B532" s="357">
        <f t="shared" ca="1" si="239"/>
        <v>16.799999999999926</v>
      </c>
      <c r="C532" s="342"/>
      <c r="D532" s="359">
        <f t="shared" ca="1" si="240"/>
        <v>-0.25067053743617707</v>
      </c>
      <c r="E532" s="360">
        <f t="shared" ca="1" si="241"/>
        <v>-9.8566395460644181</v>
      </c>
      <c r="F532" s="357">
        <f t="shared" ca="1" si="242"/>
        <v>9.8598265126410585</v>
      </c>
      <c r="G532" s="359">
        <f t="shared" ca="1" si="243"/>
        <v>29.74011559819273</v>
      </c>
      <c r="H532" s="360">
        <f t="shared" ca="1" si="244"/>
        <v>4.5524205032219944</v>
      </c>
      <c r="I532" s="357">
        <f t="shared" ca="1" si="245"/>
        <v>30.086525359901938</v>
      </c>
      <c r="J532" s="359">
        <f t="shared" ca="1" si="246"/>
        <v>532.92722813265254</v>
      </c>
      <c r="K532" s="360">
        <f t="shared" ca="1" si="247"/>
        <v>1414.3019501683527</v>
      </c>
      <c r="L532" s="357">
        <f t="shared" ca="1" si="232"/>
        <v>1511.3773310246379</v>
      </c>
      <c r="M532" s="359">
        <f t="shared" ca="1" si="248"/>
        <v>0.15189435061218642</v>
      </c>
      <c r="N532" s="357">
        <f t="shared" ca="1" si="249"/>
        <v>8.7029052219586536</v>
      </c>
      <c r="O532" s="343"/>
      <c r="P532" s="363">
        <f t="shared" ca="1" si="250"/>
        <v>23</v>
      </c>
      <c r="Q532" s="357">
        <f t="shared" ca="1" si="251"/>
        <v>0</v>
      </c>
      <c r="R532" s="359">
        <f t="shared" ca="1" si="252"/>
        <v>0</v>
      </c>
      <c r="S532" s="360">
        <f t="shared" ca="1" si="253"/>
        <v>8.6519999999999992</v>
      </c>
      <c r="T532" s="357">
        <f t="shared" ca="1" si="233"/>
        <v>84.87612</v>
      </c>
      <c r="U532" s="364">
        <f t="shared" ca="1" si="234"/>
        <v>0</v>
      </c>
      <c r="V532" s="359">
        <f t="shared" ca="1" si="235"/>
        <v>1.063190393225252</v>
      </c>
      <c r="W532" s="357">
        <f t="shared" ca="1" si="236"/>
        <v>2.1783854675436869</v>
      </c>
      <c r="X532" s="343"/>
      <c r="Y532" s="367" t="str">
        <f t="shared" ca="1" si="254"/>
        <v/>
      </c>
      <c r="Z532" s="368" t="str">
        <f t="shared" ca="1" si="255"/>
        <v/>
      </c>
      <c r="AA532" s="369" t="str">
        <f t="shared" ca="1" si="256"/>
        <v/>
      </c>
      <c r="AB532" s="344"/>
      <c r="AC532" s="363" t="e">
        <f t="shared" ca="1" si="257"/>
        <v>#N/A</v>
      </c>
      <c r="AD532" s="376" t="e">
        <f t="shared" ca="1" si="258"/>
        <v>#N/A</v>
      </c>
      <c r="AE532" s="377" t="e">
        <f t="shared" ca="1" si="237"/>
        <v>#N/A</v>
      </c>
      <c r="AF532" s="344"/>
      <c r="AG532" s="359">
        <f t="shared" ca="1" si="259"/>
        <v>-2.0494169109297826</v>
      </c>
      <c r="AH532" s="357">
        <f t="shared" ca="1" si="260"/>
        <v>-0.25497248007507944</v>
      </c>
    </row>
    <row r="533" spans="1:34" x14ac:dyDescent="0.25">
      <c r="A533" s="402">
        <f t="shared" ca="1" si="238"/>
        <v>0.1</v>
      </c>
      <c r="B533" s="357">
        <f t="shared" ca="1" si="239"/>
        <v>16.899999999999928</v>
      </c>
      <c r="C533" s="342"/>
      <c r="D533" s="359">
        <f t="shared" ca="1" si="240"/>
        <v>-0.24887933509772472</v>
      </c>
      <c r="E533" s="360">
        <f t="shared" ca="1" si="241"/>
        <v>-9.8480968051111404</v>
      </c>
      <c r="F533" s="357">
        <f t="shared" ca="1" si="242"/>
        <v>9.8512411200964394</v>
      </c>
      <c r="G533" s="359">
        <f t="shared" ca="1" si="243"/>
        <v>29.715227664682956</v>
      </c>
      <c r="H533" s="360">
        <f t="shared" ca="1" si="244"/>
        <v>3.5676108227108805</v>
      </c>
      <c r="I533" s="357">
        <f t="shared" ca="1" si="245"/>
        <v>29.928625129568903</v>
      </c>
      <c r="J533" s="359">
        <f t="shared" ca="1" si="246"/>
        <v>535.89999529579632</v>
      </c>
      <c r="K533" s="360">
        <f t="shared" ca="1" si="247"/>
        <v>1414.7079517346494</v>
      </c>
      <c r="L533" s="357">
        <f t="shared" ca="1" si="232"/>
        <v>1512.8077847695263</v>
      </c>
      <c r="M533" s="359">
        <f t="shared" ca="1" si="248"/>
        <v>0.11948809341285552</v>
      </c>
      <c r="N533" s="357">
        <f t="shared" ca="1" si="249"/>
        <v>6.8461634546215544</v>
      </c>
      <c r="O533" s="343"/>
      <c r="P533" s="363">
        <f t="shared" ca="1" si="250"/>
        <v>23</v>
      </c>
      <c r="Q533" s="357">
        <f t="shared" ca="1" si="251"/>
        <v>0</v>
      </c>
      <c r="R533" s="359">
        <f t="shared" ca="1" si="252"/>
        <v>0</v>
      </c>
      <c r="S533" s="360">
        <f t="shared" ca="1" si="253"/>
        <v>8.6519999999999992</v>
      </c>
      <c r="T533" s="357">
        <f t="shared" ca="1" si="233"/>
        <v>84.87612</v>
      </c>
      <c r="U533" s="364">
        <f t="shared" ca="1" si="234"/>
        <v>0</v>
      </c>
      <c r="V533" s="359">
        <f t="shared" ca="1" si="235"/>
        <v>1.0631470114109525</v>
      </c>
      <c r="W533" s="357">
        <f t="shared" ca="1" si="236"/>
        <v>2.1554922894111628</v>
      </c>
      <c r="X533" s="343"/>
      <c r="Y533" s="367" t="str">
        <f t="shared" ca="1" si="254"/>
        <v/>
      </c>
      <c r="Z533" s="368" t="str">
        <f t="shared" ca="1" si="255"/>
        <v/>
      </c>
      <c r="AA533" s="369" t="str">
        <f t="shared" ca="1" si="256"/>
        <v/>
      </c>
      <c r="AB533" s="344"/>
      <c r="AC533" s="363" t="e">
        <f t="shared" ca="1" si="257"/>
        <v>#N/A</v>
      </c>
      <c r="AD533" s="376" t="e">
        <f t="shared" ca="1" si="258"/>
        <v>#N/A</v>
      </c>
      <c r="AE533" s="377" t="e">
        <f t="shared" ca="1" si="237"/>
        <v>#N/A</v>
      </c>
      <c r="AF533" s="344"/>
      <c r="AG533" s="359">
        <f t="shared" ca="1" si="259"/>
        <v>-1.736138599730976</v>
      </c>
      <c r="AH533" s="357">
        <f t="shared" ca="1" si="260"/>
        <v>-0.25177825561068967</v>
      </c>
    </row>
    <row r="534" spans="1:34" x14ac:dyDescent="0.25">
      <c r="A534" s="402">
        <f t="shared" ca="1" si="238"/>
        <v>0.1</v>
      </c>
      <c r="B534" s="357">
        <f t="shared" ca="1" si="239"/>
        <v>16.999999999999929</v>
      </c>
      <c r="C534" s="342"/>
      <c r="D534" s="359">
        <f t="shared" ca="1" si="240"/>
        <v>-0.24735589121336982</v>
      </c>
      <c r="E534" s="360">
        <f t="shared" ca="1" si="241"/>
        <v>-9.8396975532044451</v>
      </c>
      <c r="F534" s="357">
        <f t="shared" ca="1" si="242"/>
        <v>9.8428061484241116</v>
      </c>
      <c r="G534" s="359">
        <f t="shared" ca="1" si="243"/>
        <v>29.690492075561618</v>
      </c>
      <c r="H534" s="360">
        <f t="shared" ca="1" si="244"/>
        <v>2.583641067390436</v>
      </c>
      <c r="I534" s="357">
        <f t="shared" ca="1" si="245"/>
        <v>29.802693181222626</v>
      </c>
      <c r="J534" s="359">
        <f t="shared" ca="1" si="246"/>
        <v>538.87028128280849</v>
      </c>
      <c r="K534" s="360">
        <f t="shared" ca="1" si="247"/>
        <v>1415.0155143291545</v>
      </c>
      <c r="L534" s="357">
        <f t="shared" ca="1" si="232"/>
        <v>1514.1499548730353</v>
      </c>
      <c r="M534" s="359">
        <f t="shared" ca="1" si="248"/>
        <v>8.6800486028380933E-2</v>
      </c>
      <c r="N534" s="357">
        <f t="shared" ca="1" si="249"/>
        <v>4.9733015091104971</v>
      </c>
      <c r="O534" s="343"/>
      <c r="P534" s="363">
        <f t="shared" ca="1" si="250"/>
        <v>23</v>
      </c>
      <c r="Q534" s="357">
        <f t="shared" ca="1" si="251"/>
        <v>0</v>
      </c>
      <c r="R534" s="359">
        <f t="shared" ca="1" si="252"/>
        <v>0</v>
      </c>
      <c r="S534" s="360">
        <f t="shared" ca="1" si="253"/>
        <v>8.6519999999999992</v>
      </c>
      <c r="T534" s="357">
        <f t="shared" ca="1" si="233"/>
        <v>84.87612</v>
      </c>
      <c r="U534" s="364">
        <f t="shared" ca="1" si="234"/>
        <v>0</v>
      </c>
      <c r="V534" s="359">
        <f t="shared" ca="1" si="235"/>
        <v>1.0631141490284355</v>
      </c>
      <c r="W534" s="357">
        <f t="shared" ca="1" si="236"/>
        <v>2.1373248717453897</v>
      </c>
      <c r="X534" s="343"/>
      <c r="Y534" s="367" t="str">
        <f t="shared" ca="1" si="254"/>
        <v/>
      </c>
      <c r="Z534" s="368" t="str">
        <f t="shared" ca="1" si="255"/>
        <v/>
      </c>
      <c r="AA534" s="369" t="str">
        <f t="shared" ca="1" si="256"/>
        <v/>
      </c>
      <c r="AB534" s="344"/>
      <c r="AC534" s="363">
        <f t="shared" ca="1" si="257"/>
        <v>16.999999999999929</v>
      </c>
      <c r="AD534" s="376">
        <f t="shared" ca="1" si="258"/>
        <v>538.87028128280849</v>
      </c>
      <c r="AE534" s="377" t="e">
        <f t="shared" ca="1" si="237"/>
        <v>#N/A</v>
      </c>
      <c r="AF534" s="344"/>
      <c r="AG534" s="359">
        <f t="shared" ca="1" si="259"/>
        <v>-1.4185231670624125</v>
      </c>
      <c r="AH534" s="357">
        <f t="shared" ca="1" si="260"/>
        <v>-0.24913225721349549</v>
      </c>
    </row>
    <row r="535" spans="1:34" x14ac:dyDescent="0.25">
      <c r="A535" s="402">
        <f t="shared" ca="1" si="238"/>
        <v>0.1</v>
      </c>
      <c r="B535" s="357">
        <f t="shared" ca="1" si="239"/>
        <v>17.09999999999993</v>
      </c>
      <c r="C535" s="342"/>
      <c r="D535" s="359">
        <f t="shared" ca="1" si="240"/>
        <v>-0.24610243600884321</v>
      </c>
      <c r="E535" s="360">
        <f t="shared" ca="1" si="241"/>
        <v>-9.8314156221742337</v>
      </c>
      <c r="F535" s="357">
        <f t="shared" ca="1" si="242"/>
        <v>9.8344953884244131</v>
      </c>
      <c r="G535" s="359">
        <f t="shared" ca="1" si="243"/>
        <v>29.665881831960736</v>
      </c>
      <c r="H535" s="360">
        <f t="shared" ca="1" si="244"/>
        <v>1.6004995051730124</v>
      </c>
      <c r="I535" s="357">
        <f t="shared" ca="1" si="245"/>
        <v>29.709024614314032</v>
      </c>
      <c r="J535" s="359">
        <f t="shared" ca="1" si="246"/>
        <v>541.83809997818457</v>
      </c>
      <c r="K535" s="360">
        <f t="shared" ca="1" si="247"/>
        <v>1415.2247213577828</v>
      </c>
      <c r="L535" s="357">
        <f t="shared" ca="1" si="232"/>
        <v>1515.4040842396403</v>
      </c>
      <c r="M535" s="359">
        <f t="shared" ca="1" si="248"/>
        <v>5.3898595218606425E-2</v>
      </c>
      <c r="N535" s="357">
        <f t="shared" ca="1" si="249"/>
        <v>3.0881620277101467</v>
      </c>
      <c r="O535" s="343"/>
      <c r="P535" s="363">
        <f t="shared" ca="1" si="250"/>
        <v>23</v>
      </c>
      <c r="Q535" s="357">
        <f t="shared" ca="1" si="251"/>
        <v>0</v>
      </c>
      <c r="R535" s="359">
        <f t="shared" ca="1" si="252"/>
        <v>0</v>
      </c>
      <c r="S535" s="360">
        <f t="shared" ca="1" si="253"/>
        <v>8.6519999999999992</v>
      </c>
      <c r="T535" s="357">
        <f t="shared" ca="1" si="233"/>
        <v>84.87612</v>
      </c>
      <c r="U535" s="364">
        <f t="shared" ca="1" si="234"/>
        <v>0</v>
      </c>
      <c r="V535" s="359">
        <f t="shared" ca="1" si="235"/>
        <v>1.0630917962598558</v>
      </c>
      <c r="W535" s="357">
        <f t="shared" ca="1" si="236"/>
        <v>2.1238662897980602</v>
      </c>
      <c r="X535" s="343"/>
      <c r="Y535" s="367" t="str">
        <f t="shared" ca="1" si="254"/>
        <v/>
      </c>
      <c r="Z535" s="368" t="str">
        <f t="shared" ca="1" si="255"/>
        <v/>
      </c>
      <c r="AA535" s="369" t="str">
        <f t="shared" ca="1" si="256"/>
        <v/>
      </c>
      <c r="AB535" s="344"/>
      <c r="AC535" s="363" t="e">
        <f t="shared" ca="1" si="257"/>
        <v>#N/A</v>
      </c>
      <c r="AD535" s="376" t="e">
        <f t="shared" ca="1" si="258"/>
        <v>#N/A</v>
      </c>
      <c r="AE535" s="377" t="e">
        <f t="shared" ca="1" si="237"/>
        <v>#N/A</v>
      </c>
      <c r="AF535" s="344"/>
      <c r="AG535" s="359">
        <f t="shared" ca="1" si="259"/>
        <v>-1.0974763716568385</v>
      </c>
      <c r="AH535" s="357">
        <f t="shared" ca="1" si="260"/>
        <v>-0.24703246321606448</v>
      </c>
    </row>
    <row r="536" spans="1:34" x14ac:dyDescent="0.25">
      <c r="A536" s="402">
        <f t="shared" ca="1" si="238"/>
        <v>0.1</v>
      </c>
      <c r="B536" s="357">
        <f t="shared" ca="1" si="239"/>
        <v>17.199999999999932</v>
      </c>
      <c r="C536" s="342"/>
      <c r="D536" s="359">
        <f t="shared" ca="1" si="240"/>
        <v>-0.24512044135262046</v>
      </c>
      <c r="E536" s="360">
        <f t="shared" ca="1" si="241"/>
        <v>-9.8232244558686954</v>
      </c>
      <c r="F536" s="357">
        <f t="shared" ca="1" si="242"/>
        <v>9.82628224412192</v>
      </c>
      <c r="G536" s="359">
        <f t="shared" ca="1" si="243"/>
        <v>29.641369787825475</v>
      </c>
      <c r="H536" s="360">
        <f t="shared" ca="1" si="244"/>
        <v>0.61817705958614289</v>
      </c>
      <c r="I536" s="357">
        <f t="shared" ca="1" si="245"/>
        <v>29.647815193966849</v>
      </c>
      <c r="J536" s="359">
        <f t="shared" ca="1" si="246"/>
        <v>544.80346255917391</v>
      </c>
      <c r="K536" s="360">
        <f t="shared" ca="1" si="247"/>
        <v>1415.3356551860206</v>
      </c>
      <c r="L536" s="357">
        <f t="shared" ca="1" si="232"/>
        <v>1516.5704169794778</v>
      </c>
      <c r="M536" s="359">
        <f t="shared" ca="1" si="248"/>
        <v>2.0852189494152865E-2</v>
      </c>
      <c r="N536" s="357">
        <f t="shared" ca="1" si="249"/>
        <v>1.1947424516219942</v>
      </c>
      <c r="O536" s="343"/>
      <c r="P536" s="363">
        <f t="shared" ca="1" si="250"/>
        <v>23</v>
      </c>
      <c r="Q536" s="357">
        <f t="shared" ca="1" si="251"/>
        <v>0</v>
      </c>
      <c r="R536" s="359">
        <f t="shared" ca="1" si="252"/>
        <v>0</v>
      </c>
      <c r="S536" s="360">
        <f t="shared" ca="1" si="253"/>
        <v>8.6519999999999992</v>
      </c>
      <c r="T536" s="357">
        <f t="shared" ca="1" si="233"/>
        <v>84.87612</v>
      </c>
      <c r="U536" s="364">
        <f t="shared" ca="1" si="234"/>
        <v>0</v>
      </c>
      <c r="V536" s="359">
        <f t="shared" ca="1" si="235"/>
        <v>1.0630799436890439</v>
      </c>
      <c r="W536" s="357">
        <f t="shared" ca="1" si="236"/>
        <v>2.1151001318473139</v>
      </c>
      <c r="X536" s="343"/>
      <c r="Y536" s="367" t="str">
        <f t="shared" ca="1" si="254"/>
        <v>Apogée</v>
      </c>
      <c r="Z536" s="368" t="str">
        <f t="shared" ca="1" si="255"/>
        <v/>
      </c>
      <c r="AA536" s="369" t="str">
        <f t="shared" ca="1" si="256"/>
        <v/>
      </c>
      <c r="AB536" s="344"/>
      <c r="AC536" s="363" t="e">
        <f t="shared" ca="1" si="257"/>
        <v>#N/A</v>
      </c>
      <c r="AD536" s="376" t="e">
        <f t="shared" ca="1" si="258"/>
        <v>#N/A</v>
      </c>
      <c r="AE536" s="377" t="e">
        <f t="shared" ca="1" si="237"/>
        <v>#N/A</v>
      </c>
      <c r="AF536" s="344"/>
      <c r="AG536" s="359">
        <f t="shared" ca="1" si="259"/>
        <v>-0.77396616775858751</v>
      </c>
      <c r="AH536" s="357">
        <f t="shared" ca="1" si="260"/>
        <v>-0.24547691745238795</v>
      </c>
    </row>
    <row r="537" spans="1:34" x14ac:dyDescent="0.25">
      <c r="A537" s="402">
        <f t="shared" ca="1" si="238"/>
        <v>0.1</v>
      </c>
      <c r="B537" s="357">
        <f t="shared" ca="1" si="239"/>
        <v>17.299999999999933</v>
      </c>
      <c r="C537" s="342"/>
      <c r="D537" s="359">
        <f t="shared" ca="1" si="240"/>
        <v>-0.24441057687691889</v>
      </c>
      <c r="E537" s="360">
        <f t="shared" ca="1" si="241"/>
        <v>-9.815097234467471</v>
      </c>
      <c r="F537" s="357">
        <f t="shared" ca="1" si="242"/>
        <v>9.8181398570269067</v>
      </c>
      <c r="G537" s="359">
        <f t="shared" ca="1" si="243"/>
        <v>29.616928730137783</v>
      </c>
      <c r="H537" s="360">
        <f t="shared" ca="1" si="244"/>
        <v>-0.36333266386060425</v>
      </c>
      <c r="I537" s="357">
        <f t="shared" ca="1" si="245"/>
        <v>29.619157280899955</v>
      </c>
      <c r="J537" s="359">
        <f t="shared" ca="1" si="246"/>
        <v>547.7663774850721</v>
      </c>
      <c r="K537" s="360">
        <f t="shared" ca="1" si="247"/>
        <v>1415.348397405807</v>
      </c>
      <c r="L537" s="357">
        <f t="shared" ca="1" si="232"/>
        <v>1517.6491987090774</v>
      </c>
      <c r="M537" s="359">
        <f t="shared" ca="1" si="248"/>
        <v>-1.2267120671063919E-2</v>
      </c>
      <c r="N537" s="357">
        <f t="shared" ca="1" si="249"/>
        <v>-0.70285424122965279</v>
      </c>
      <c r="O537" s="343"/>
      <c r="P537" s="363">
        <f t="shared" ca="1" si="250"/>
        <v>23</v>
      </c>
      <c r="Q537" s="357">
        <f t="shared" ca="1" si="251"/>
        <v>0</v>
      </c>
      <c r="R537" s="359">
        <f t="shared" ca="1" si="252"/>
        <v>0</v>
      </c>
      <c r="S537" s="360">
        <f t="shared" ca="1" si="253"/>
        <v>8.6519999999999992</v>
      </c>
      <c r="T537" s="357">
        <f t="shared" ca="1" si="233"/>
        <v>84.87612</v>
      </c>
      <c r="U537" s="364">
        <f t="shared" ca="1" si="234"/>
        <v>0</v>
      </c>
      <c r="V537" s="359">
        <f t="shared" ca="1" si="235"/>
        <v>1.0630785822721296</v>
      </c>
      <c r="W537" s="357">
        <f t="shared" ca="1" si="236"/>
        <v>2.111010445269033</v>
      </c>
      <c r="X537" s="343"/>
      <c r="Y537" s="367" t="str">
        <f t="shared" ca="1" si="254"/>
        <v/>
      </c>
      <c r="Z537" s="368" t="str">
        <f t="shared" ca="1" si="255"/>
        <v/>
      </c>
      <c r="AA537" s="369" t="str">
        <f t="shared" ca="1" si="256"/>
        <v/>
      </c>
      <c r="AB537" s="344"/>
      <c r="AC537" s="363" t="e">
        <f t="shared" ca="1" si="257"/>
        <v>#N/A</v>
      </c>
      <c r="AD537" s="376" t="e">
        <f t="shared" ca="1" si="258"/>
        <v>#N/A</v>
      </c>
      <c r="AE537" s="377" t="e">
        <f t="shared" ca="1" si="237"/>
        <v>#N/A</v>
      </c>
      <c r="AF537" s="344"/>
      <c r="AG537" s="359">
        <f t="shared" ca="1" si="259"/>
        <v>-0.44900887806156531</v>
      </c>
      <c r="AH537" s="357">
        <f t="shared" ca="1" si="260"/>
        <v>-0.24446372305216299</v>
      </c>
    </row>
    <row r="538" spans="1:34" x14ac:dyDescent="0.25">
      <c r="A538" s="402">
        <f t="shared" ca="1" si="238"/>
        <v>0.1</v>
      </c>
      <c r="B538" s="357">
        <f t="shared" ca="1" si="239"/>
        <v>17.399999999999935</v>
      </c>
      <c r="C538" s="342"/>
      <c r="D538" s="359">
        <f t="shared" ca="1" si="240"/>
        <v>-0.24397267827791477</v>
      </c>
      <c r="E538" s="360">
        <f t="shared" ca="1" si="241"/>
        <v>-9.8070070075828717</v>
      </c>
      <c r="F538" s="357">
        <f t="shared" ca="1" si="242"/>
        <v>9.8100412391857787</v>
      </c>
      <c r="G538" s="359">
        <f t="shared" ca="1" si="243"/>
        <v>29.592531462309992</v>
      </c>
      <c r="H538" s="360">
        <f t="shared" ca="1" si="244"/>
        <v>-1.3440333646188916</v>
      </c>
      <c r="I538" s="357">
        <f t="shared" ca="1" si="245"/>
        <v>29.623037387023896</v>
      </c>
      <c r="J538" s="359">
        <f t="shared" ca="1" si="246"/>
        <v>550.72685049469453</v>
      </c>
      <c r="K538" s="360">
        <f t="shared" ca="1" si="247"/>
        <v>1415.2630291043829</v>
      </c>
      <c r="L538" s="357">
        <f t="shared" ca="1" si="232"/>
        <v>1518.6406768572738</v>
      </c>
      <c r="M538" s="359">
        <f t="shared" ca="1" si="248"/>
        <v>-4.5386801524192492E-2</v>
      </c>
      <c r="N538" s="357">
        <f t="shared" ca="1" si="249"/>
        <v>-2.6004721729341616</v>
      </c>
      <c r="O538" s="343"/>
      <c r="P538" s="363">
        <f t="shared" ca="1" si="250"/>
        <v>23</v>
      </c>
      <c r="Q538" s="357">
        <f t="shared" ca="1" si="251"/>
        <v>0</v>
      </c>
      <c r="R538" s="359">
        <f t="shared" ca="1" si="252"/>
        <v>0</v>
      </c>
      <c r="S538" s="360">
        <f t="shared" ca="1" si="253"/>
        <v>8.6519999999999992</v>
      </c>
      <c r="T538" s="357">
        <f t="shared" ca="1" si="233"/>
        <v>84.87612</v>
      </c>
      <c r="U538" s="364">
        <f t="shared" ca="1" si="234"/>
        <v>0</v>
      </c>
      <c r="V538" s="359">
        <f t="shared" ca="1" si="235"/>
        <v>1.0630877033079922</v>
      </c>
      <c r="W538" s="357">
        <f t="shared" ca="1" si="236"/>
        <v>2.1115816825977434</v>
      </c>
      <c r="X538" s="343"/>
      <c r="Y538" s="367" t="str">
        <f t="shared" ca="1" si="254"/>
        <v/>
      </c>
      <c r="Z538" s="368" t="str">
        <f t="shared" ca="1" si="255"/>
        <v/>
      </c>
      <c r="AA538" s="369" t="str">
        <f t="shared" ca="1" si="256"/>
        <v/>
      </c>
      <c r="AB538" s="344"/>
      <c r="AC538" s="363" t="e">
        <f t="shared" ca="1" si="257"/>
        <v>#N/A</v>
      </c>
      <c r="AD538" s="376" t="e">
        <f t="shared" ca="1" si="258"/>
        <v>#N/A</v>
      </c>
      <c r="AE538" s="377" t="e">
        <f t="shared" ca="1" si="237"/>
        <v>#N/A</v>
      </c>
      <c r="AF538" s="344"/>
      <c r="AG538" s="359">
        <f t="shared" ca="1" si="259"/>
        <v>-0.12365360058555507</v>
      </c>
      <c r="AH538" s="357">
        <f t="shared" ca="1" si="260"/>
        <v>-0.24399103620770149</v>
      </c>
    </row>
    <row r="539" spans="1:34" x14ac:dyDescent="0.25">
      <c r="A539" s="402">
        <f t="shared" ca="1" si="238"/>
        <v>0.1</v>
      </c>
      <c r="B539" s="357">
        <f t="shared" ca="1" si="239"/>
        <v>17.499999999999936</v>
      </c>
      <c r="C539" s="342"/>
      <c r="D539" s="359">
        <f t="shared" ca="1" si="240"/>
        <v>-0.24380572898396458</v>
      </c>
      <c r="E539" s="360">
        <f t="shared" ca="1" si="241"/>
        <v>-9.7989268332904533</v>
      </c>
      <c r="F539" s="357">
        <f t="shared" ca="1" si="242"/>
        <v>9.8019594121616862</v>
      </c>
      <c r="G539" s="359">
        <f t="shared" ca="1" si="243"/>
        <v>29.568150889411594</v>
      </c>
      <c r="H539" s="360">
        <f t="shared" ca="1" si="244"/>
        <v>-2.3239260479479369</v>
      </c>
      <c r="I539" s="357">
        <f t="shared" ca="1" si="245"/>
        <v>29.659335449320889</v>
      </c>
      <c r="J539" s="359">
        <f t="shared" ca="1" si="246"/>
        <v>553.6848846122806</v>
      </c>
      <c r="K539" s="360">
        <f t="shared" ca="1" si="247"/>
        <v>1415.0796311337544</v>
      </c>
      <c r="L539" s="357">
        <f t="shared" ca="1" si="232"/>
        <v>1519.5451009752087</v>
      </c>
      <c r="M539" s="359">
        <f t="shared" ca="1" si="248"/>
        <v>-7.8434344603008493E-2</v>
      </c>
      <c r="N539" s="357">
        <f t="shared" ca="1" si="249"/>
        <v>-4.493956914627093</v>
      </c>
      <c r="O539" s="343"/>
      <c r="P539" s="363">
        <f t="shared" ca="1" si="250"/>
        <v>23</v>
      </c>
      <c r="Q539" s="357">
        <f t="shared" ca="1" si="251"/>
        <v>0</v>
      </c>
      <c r="R539" s="359">
        <f t="shared" ca="1" si="252"/>
        <v>0</v>
      </c>
      <c r="S539" s="360">
        <f t="shared" ca="1" si="253"/>
        <v>8.6519999999999992</v>
      </c>
      <c r="T539" s="357">
        <f t="shared" ca="1" si="233"/>
        <v>84.87612</v>
      </c>
      <c r="U539" s="364">
        <f t="shared" ca="1" si="234"/>
        <v>0</v>
      </c>
      <c r="V539" s="359">
        <f t="shared" ca="1" si="235"/>
        <v>1.0631072984086705</v>
      </c>
      <c r="W539" s="357">
        <f t="shared" ca="1" si="236"/>
        <v>2.1167986478169438</v>
      </c>
      <c r="X539" s="343"/>
      <c r="Y539" s="367" t="str">
        <f t="shared" ca="1" si="254"/>
        <v/>
      </c>
      <c r="Z539" s="368" t="str">
        <f t="shared" ca="1" si="255"/>
        <v/>
      </c>
      <c r="AA539" s="369" t="str">
        <f t="shared" ca="1" si="256"/>
        <v/>
      </c>
      <c r="AB539" s="344"/>
      <c r="AC539" s="363" t="e">
        <f t="shared" ca="1" si="257"/>
        <v>#N/A</v>
      </c>
      <c r="AD539" s="376" t="e">
        <f t="shared" ca="1" si="258"/>
        <v>#N/A</v>
      </c>
      <c r="AE539" s="377" t="e">
        <f t="shared" ca="1" si="237"/>
        <v>#N/A</v>
      </c>
      <c r="AF539" s="344"/>
      <c r="AG539" s="359">
        <f t="shared" ca="1" si="259"/>
        <v>0.20103461430869202</v>
      </c>
      <c r="AH539" s="357">
        <f t="shared" ca="1" si="260"/>
        <v>-0.2440570599396375</v>
      </c>
    </row>
    <row r="540" spans="1:34" x14ac:dyDescent="0.25">
      <c r="A540" s="402">
        <f t="shared" ca="1" si="238"/>
        <v>0.1</v>
      </c>
      <c r="B540" s="357">
        <f t="shared" ca="1" si="239"/>
        <v>17.599999999999937</v>
      </c>
      <c r="C540" s="342"/>
      <c r="D540" s="359">
        <f t="shared" ca="1" si="240"/>
        <v>-0.24390785590178315</v>
      </c>
      <c r="E540" s="360">
        <f t="shared" ca="1" si="241"/>
        <v>-9.7908299199449687</v>
      </c>
      <c r="F540" s="357">
        <f t="shared" ca="1" si="242"/>
        <v>9.7938675488011473</v>
      </c>
      <c r="G540" s="359">
        <f t="shared" ca="1" si="243"/>
        <v>29.543760103821416</v>
      </c>
      <c r="H540" s="360">
        <f t="shared" ca="1" si="244"/>
        <v>-3.3030090399424337</v>
      </c>
      <c r="I540" s="357">
        <f t="shared" ca="1" si="245"/>
        <v>29.727825850372767</v>
      </c>
      <c r="J540" s="359">
        <f t="shared" ca="1" si="246"/>
        <v>556.64048016194226</v>
      </c>
      <c r="K540" s="360">
        <f t="shared" ca="1" si="247"/>
        <v>1414.79828437936</v>
      </c>
      <c r="L540" s="357">
        <f t="shared" ca="1" si="232"/>
        <v>1520.3627230492395</v>
      </c>
      <c r="M540" s="359">
        <f t="shared" ca="1" si="248"/>
        <v>-0.11133821438514402</v>
      </c>
      <c r="N540" s="357">
        <f t="shared" ca="1" si="249"/>
        <v>-6.3792097827915022</v>
      </c>
      <c r="O540" s="343"/>
      <c r="P540" s="363">
        <f t="shared" ca="1" si="250"/>
        <v>23</v>
      </c>
      <c r="Q540" s="357">
        <f t="shared" ca="1" si="251"/>
        <v>0</v>
      </c>
      <c r="R540" s="359">
        <f t="shared" ca="1" si="252"/>
        <v>0</v>
      </c>
      <c r="S540" s="360">
        <f t="shared" ca="1" si="253"/>
        <v>8.6519999999999992</v>
      </c>
      <c r="T540" s="357">
        <f t="shared" ca="1" si="233"/>
        <v>84.87612</v>
      </c>
      <c r="U540" s="364">
        <f t="shared" ca="1" si="234"/>
        <v>0</v>
      </c>
      <c r="V540" s="359">
        <f t="shared" ca="1" si="235"/>
        <v>1.0631373594698843</v>
      </c>
      <c r="W540" s="357">
        <f t="shared" ca="1" si="236"/>
        <v>2.1266464431265013</v>
      </c>
      <c r="X540" s="343"/>
      <c r="Y540" s="367" t="str">
        <f t="shared" ca="1" si="254"/>
        <v/>
      </c>
      <c r="Z540" s="368" t="str">
        <f t="shared" ca="1" si="255"/>
        <v/>
      </c>
      <c r="AA540" s="369" t="str">
        <f t="shared" ca="1" si="256"/>
        <v/>
      </c>
      <c r="AB540" s="344"/>
      <c r="AC540" s="363" t="e">
        <f t="shared" ca="1" si="257"/>
        <v>#N/A</v>
      </c>
      <c r="AD540" s="376" t="e">
        <f t="shared" ca="1" si="258"/>
        <v>#N/A</v>
      </c>
      <c r="AE540" s="377" t="e">
        <f t="shared" ca="1" si="237"/>
        <v>#N/A</v>
      </c>
      <c r="AF540" s="344"/>
      <c r="AG540" s="359">
        <f t="shared" ca="1" si="259"/>
        <v>0.52399219875060243</v>
      </c>
      <c r="AH540" s="357">
        <f t="shared" ca="1" si="260"/>
        <v>-0.24466003788915211</v>
      </c>
    </row>
    <row r="541" spans="1:34" x14ac:dyDescent="0.25">
      <c r="A541" s="402">
        <f t="shared" ca="1" si="238"/>
        <v>0.1</v>
      </c>
      <c r="B541" s="357">
        <f t="shared" ca="1" si="239"/>
        <v>17.699999999999939</v>
      </c>
      <c r="C541" s="342"/>
      <c r="D541" s="359">
        <f t="shared" ca="1" si="240"/>
        <v>-0.2442763394230944</v>
      </c>
      <c r="E541" s="360">
        <f t="shared" ca="1" si="241"/>
        <v>-9.7826897675000364</v>
      </c>
      <c r="F541" s="357">
        <f t="shared" ca="1" si="242"/>
        <v>9.7857391145049366</v>
      </c>
      <c r="G541" s="359">
        <f t="shared" ca="1" si="243"/>
        <v>29.519332469879107</v>
      </c>
      <c r="H541" s="360">
        <f t="shared" ca="1" si="244"/>
        <v>-4.2812780166924371</v>
      </c>
      <c r="I541" s="357">
        <f t="shared" ca="1" si="245"/>
        <v>29.828180147697125</v>
      </c>
      <c r="J541" s="359">
        <f t="shared" ca="1" si="246"/>
        <v>559.59363479062733</v>
      </c>
      <c r="K541" s="360">
        <f t="shared" ca="1" si="247"/>
        <v>1414.4190700265283</v>
      </c>
      <c r="L541" s="357">
        <f t="shared" ca="1" si="232"/>
        <v>1521.0937978155375</v>
      </c>
      <c r="M541" s="359">
        <f t="shared" ca="1" si="248"/>
        <v>-0.14402876426862149</v>
      </c>
      <c r="N541" s="357">
        <f t="shared" ca="1" si="249"/>
        <v>-8.2522403210766466</v>
      </c>
      <c r="O541" s="343"/>
      <c r="P541" s="363">
        <f t="shared" ca="1" si="250"/>
        <v>23</v>
      </c>
      <c r="Q541" s="357">
        <f t="shared" ca="1" si="251"/>
        <v>0</v>
      </c>
      <c r="R541" s="359">
        <f t="shared" ca="1" si="252"/>
        <v>0</v>
      </c>
      <c r="S541" s="360">
        <f t="shared" ca="1" si="253"/>
        <v>8.6519999999999992</v>
      </c>
      <c r="T541" s="357">
        <f t="shared" ca="1" si="233"/>
        <v>84.87612</v>
      </c>
      <c r="U541" s="364">
        <f t="shared" ca="1" si="234"/>
        <v>0</v>
      </c>
      <c r="V541" s="359">
        <f t="shared" ca="1" si="235"/>
        <v>1.0631778786418091</v>
      </c>
      <c r="W541" s="357">
        <f t="shared" ca="1" si="236"/>
        <v>2.1411104164364501</v>
      </c>
      <c r="X541" s="343"/>
      <c r="Y541" s="367" t="str">
        <f t="shared" ca="1" si="254"/>
        <v/>
      </c>
      <c r="Z541" s="368" t="str">
        <f t="shared" ca="1" si="255"/>
        <v/>
      </c>
      <c r="AA541" s="369" t="str">
        <f t="shared" ca="1" si="256"/>
        <v/>
      </c>
      <c r="AB541" s="344"/>
      <c r="AC541" s="363" t="e">
        <f t="shared" ca="1" si="257"/>
        <v>#N/A</v>
      </c>
      <c r="AD541" s="376" t="e">
        <f t="shared" ca="1" si="258"/>
        <v>#N/A</v>
      </c>
      <c r="AE541" s="377" t="e">
        <f t="shared" ca="1" si="237"/>
        <v>#N/A</v>
      </c>
      <c r="AF541" s="344"/>
      <c r="AG541" s="359">
        <f t="shared" ca="1" si="259"/>
        <v>0.84417445434324379</v>
      </c>
      <c r="AH541" s="357">
        <f t="shared" ca="1" si="260"/>
        <v>-0.24579824816533766</v>
      </c>
    </row>
    <row r="542" spans="1:34" x14ac:dyDescent="0.25">
      <c r="A542" s="402">
        <f t="shared" ca="1" si="238"/>
        <v>0.1</v>
      </c>
      <c r="B542" s="357">
        <f t="shared" ca="1" si="239"/>
        <v>17.79999999999994</v>
      </c>
      <c r="C542" s="342"/>
      <c r="D542" s="359">
        <f t="shared" ca="1" si="240"/>
        <v>-0.24490763733333762</v>
      </c>
      <c r="E542" s="360">
        <f t="shared" ca="1" si="241"/>
        <v>-9.7744803050710853</v>
      </c>
      <c r="F542" s="357">
        <f t="shared" ca="1" si="242"/>
        <v>9.7775480047426377</v>
      </c>
      <c r="G542" s="359">
        <f t="shared" ca="1" si="243"/>
        <v>29.494841706145774</v>
      </c>
      <c r="H542" s="360">
        <f t="shared" ca="1" si="244"/>
        <v>-5.2587260471995458</v>
      </c>
      <c r="I542" s="357">
        <f t="shared" ca="1" si="245"/>
        <v>29.959971410368389</v>
      </c>
      <c r="J542" s="359">
        <f t="shared" ca="1" si="246"/>
        <v>562.54434349942858</v>
      </c>
      <c r="K542" s="360">
        <f t="shared" ca="1" si="247"/>
        <v>1413.9420698233337</v>
      </c>
      <c r="L542" s="357">
        <f t="shared" ca="1" si="232"/>
        <v>1521.7385830751273</v>
      </c>
      <c r="M542" s="359">
        <f t="shared" ca="1" si="248"/>
        <v>-0.17643909203798375</v>
      </c>
      <c r="N542" s="357">
        <f t="shared" ca="1" si="249"/>
        <v>-10.109215314896755</v>
      </c>
      <c r="O542" s="343"/>
      <c r="P542" s="363">
        <f t="shared" ca="1" si="250"/>
        <v>23</v>
      </c>
      <c r="Q542" s="357">
        <f t="shared" ca="1" si="251"/>
        <v>0</v>
      </c>
      <c r="R542" s="359">
        <f t="shared" ca="1" si="252"/>
        <v>0</v>
      </c>
      <c r="S542" s="360">
        <f t="shared" ca="1" si="253"/>
        <v>8.6519999999999992</v>
      </c>
      <c r="T542" s="357">
        <f t="shared" ca="1" si="233"/>
        <v>84.87612</v>
      </c>
      <c r="U542" s="364">
        <f t="shared" ca="1" si="234"/>
        <v>0</v>
      </c>
      <c r="V542" s="359">
        <f t="shared" ca="1" si="235"/>
        <v>1.0632288483002446</v>
      </c>
      <c r="W542" s="357">
        <f t="shared" ca="1" si="236"/>
        <v>2.1601761098321601</v>
      </c>
      <c r="X542" s="343"/>
      <c r="Y542" s="367" t="str">
        <f t="shared" ca="1" si="254"/>
        <v/>
      </c>
      <c r="Z542" s="368" t="str">
        <f t="shared" ca="1" si="255"/>
        <v/>
      </c>
      <c r="AA542" s="369" t="str">
        <f t="shared" ca="1" si="256"/>
        <v/>
      </c>
      <c r="AB542" s="344"/>
      <c r="AC542" s="363" t="e">
        <f t="shared" ca="1" si="257"/>
        <v>#N/A</v>
      </c>
      <c r="AD542" s="376" t="e">
        <f t="shared" ca="1" si="258"/>
        <v>#N/A</v>
      </c>
      <c r="AE542" s="377" t="e">
        <f t="shared" ca="1" si="237"/>
        <v>#N/A</v>
      </c>
      <c r="AF542" s="344"/>
      <c r="AG542" s="359">
        <f t="shared" ca="1" si="259"/>
        <v>1.1605722344583369</v>
      </c>
      <c r="AH542" s="357">
        <f t="shared" ca="1" si="260"/>
        <v>-0.24746999727651992</v>
      </c>
    </row>
    <row r="543" spans="1:34" x14ac:dyDescent="0.25">
      <c r="A543" s="402">
        <f t="shared" ca="1" si="238"/>
        <v>0.1</v>
      </c>
      <c r="B543" s="357">
        <f t="shared" ca="1" si="239"/>
        <v>17.899999999999942</v>
      </c>
      <c r="C543" s="342"/>
      <c r="D543" s="359">
        <f t="shared" ca="1" si="240"/>
        <v>-0.24579742174622141</v>
      </c>
      <c r="E543" s="360">
        <f t="shared" ca="1" si="241"/>
        <v>-9.7661760216600175</v>
      </c>
      <c r="F543" s="357">
        <f t="shared" ca="1" si="242"/>
        <v>9.7692686757292222</v>
      </c>
      <c r="G543" s="359">
        <f t="shared" ca="1" si="243"/>
        <v>29.470261963971151</v>
      </c>
      <c r="H543" s="360">
        <f t="shared" ca="1" si="244"/>
        <v>-6.2353436493655474</v>
      </c>
      <c r="I543" s="357">
        <f t="shared" ca="1" si="245"/>
        <v>30.122680004454583</v>
      </c>
      <c r="J543" s="359">
        <f t="shared" ca="1" si="246"/>
        <v>565.49259868293439</v>
      </c>
      <c r="K543" s="360">
        <f t="shared" ca="1" si="247"/>
        <v>1413.3673663385055</v>
      </c>
      <c r="L543" s="357">
        <f t="shared" ca="1" si="232"/>
        <v>1522.2973400081278</v>
      </c>
      <c r="M543" s="359">
        <f t="shared" ca="1" si="248"/>
        <v>-0.20850580953684777</v>
      </c>
      <c r="N543" s="357">
        <f t="shared" ca="1" si="249"/>
        <v>-11.946502890419968</v>
      </c>
      <c r="O543" s="343"/>
      <c r="P543" s="363">
        <f t="shared" ca="1" si="250"/>
        <v>23</v>
      </c>
      <c r="Q543" s="357">
        <f t="shared" ca="1" si="251"/>
        <v>0</v>
      </c>
      <c r="R543" s="359">
        <f t="shared" ca="1" si="252"/>
        <v>0</v>
      </c>
      <c r="S543" s="360">
        <f t="shared" ca="1" si="253"/>
        <v>8.6519999999999992</v>
      </c>
      <c r="T543" s="357">
        <f t="shared" ca="1" si="233"/>
        <v>84.87612</v>
      </c>
      <c r="U543" s="364">
        <f t="shared" ca="1" si="234"/>
        <v>0</v>
      </c>
      <c r="V543" s="359">
        <f t="shared" ca="1" si="235"/>
        <v>1.0632902610183241</v>
      </c>
      <c r="W543" s="357">
        <f t="shared" ca="1" si="236"/>
        <v>2.1838292092457006</v>
      </c>
      <c r="X543" s="343"/>
      <c r="Y543" s="367" t="str">
        <f t="shared" ca="1" si="254"/>
        <v/>
      </c>
      <c r="Z543" s="368" t="str">
        <f t="shared" ca="1" si="255"/>
        <v/>
      </c>
      <c r="AA543" s="369" t="str">
        <f t="shared" ca="1" si="256"/>
        <v/>
      </c>
      <c r="AB543" s="344"/>
      <c r="AC543" s="363" t="e">
        <f t="shared" ca="1" si="257"/>
        <v>#N/A</v>
      </c>
      <c r="AD543" s="376" t="e">
        <f t="shared" ca="1" si="258"/>
        <v>#N/A</v>
      </c>
      <c r="AE543" s="377" t="e">
        <f t="shared" ca="1" si="237"/>
        <v>#N/A</v>
      </c>
      <c r="AF543" s="344"/>
      <c r="AG543" s="359">
        <f t="shared" ca="1" si="259"/>
        <v>1.4722273121125544</v>
      </c>
      <c r="AH543" s="357">
        <f t="shared" ca="1" si="260"/>
        <v>-0.24967361417385117</v>
      </c>
    </row>
    <row r="544" spans="1:34" x14ac:dyDescent="0.25">
      <c r="A544" s="402">
        <f t="shared" ca="1" si="238"/>
        <v>0.1</v>
      </c>
      <c r="B544" s="357">
        <f t="shared" ca="1" si="239"/>
        <v>17.999999999999943</v>
      </c>
      <c r="C544" s="342"/>
      <c r="D544" s="359">
        <f t="shared" ca="1" si="240"/>
        <v>-0.24694062772753828</v>
      </c>
      <c r="E544" s="360">
        <f t="shared" ca="1" si="241"/>
        <v>-9.757752087281963</v>
      </c>
      <c r="F544" s="357">
        <f t="shared" ca="1" si="242"/>
        <v>9.7608762655039314</v>
      </c>
      <c r="G544" s="359">
        <f t="shared" ca="1" si="243"/>
        <v>29.445567901198398</v>
      </c>
      <c r="H544" s="360">
        <f t="shared" ca="1" si="244"/>
        <v>-7.2111188580937435</v>
      </c>
      <c r="I544" s="357">
        <f t="shared" ca="1" si="245"/>
        <v>30.315700622113958</v>
      </c>
      <c r="J544" s="359">
        <f t="shared" ca="1" si="246"/>
        <v>568.43839017619291</v>
      </c>
      <c r="K544" s="360">
        <f t="shared" ca="1" si="247"/>
        <v>1412.6950432131325</v>
      </c>
      <c r="L544" s="357">
        <f t="shared" ca="1" si="232"/>
        <v>1522.7703334859975</v>
      </c>
      <c r="M544" s="359">
        <f t="shared" ca="1" si="248"/>
        <v>-0.24016970616557717</v>
      </c>
      <c r="N544" s="357">
        <f t="shared" ca="1" si="249"/>
        <v>-13.760710530184678</v>
      </c>
      <c r="O544" s="343"/>
      <c r="P544" s="363">
        <f t="shared" ca="1" si="250"/>
        <v>23</v>
      </c>
      <c r="Q544" s="357">
        <f t="shared" ca="1" si="251"/>
        <v>0</v>
      </c>
      <c r="R544" s="359">
        <f t="shared" ca="1" si="252"/>
        <v>0</v>
      </c>
      <c r="S544" s="360">
        <f t="shared" ca="1" si="253"/>
        <v>8.6519999999999992</v>
      </c>
      <c r="T544" s="357">
        <f t="shared" ca="1" si="233"/>
        <v>84.87612</v>
      </c>
      <c r="U544" s="364">
        <f t="shared" ca="1" si="234"/>
        <v>0</v>
      </c>
      <c r="V544" s="359">
        <f t="shared" ca="1" si="235"/>
        <v>1.0633621095388834</v>
      </c>
      <c r="W544" s="357">
        <f t="shared" ca="1" si="236"/>
        <v>2.2120554955525358</v>
      </c>
      <c r="X544" s="343"/>
      <c r="Y544" s="367" t="str">
        <f t="shared" ca="1" si="254"/>
        <v/>
      </c>
      <c r="Z544" s="368" t="str">
        <f t="shared" ca="1" si="255"/>
        <v/>
      </c>
      <c r="AA544" s="369" t="str">
        <f t="shared" ca="1" si="256"/>
        <v/>
      </c>
      <c r="AB544" s="344"/>
      <c r="AC544" s="363">
        <f t="shared" ca="1" si="257"/>
        <v>17.999999999999943</v>
      </c>
      <c r="AD544" s="376">
        <f t="shared" ca="1" si="258"/>
        <v>568.43839017619291</v>
      </c>
      <c r="AE544" s="377" t="e">
        <f t="shared" ca="1" si="237"/>
        <v>#N/A</v>
      </c>
      <c r="AF544" s="344"/>
      <c r="AG544" s="359">
        <f t="shared" ca="1" si="259"/>
        <v>1.7782459101553263</v>
      </c>
      <c r="AH544" s="357">
        <f t="shared" ca="1" si="260"/>
        <v>-0.25240744443431584</v>
      </c>
    </row>
    <row r="545" spans="1:34" x14ac:dyDescent="0.25">
      <c r="A545" s="402">
        <f t="shared" ca="1" si="238"/>
        <v>0.1</v>
      </c>
      <c r="B545" s="357">
        <f t="shared" ca="1" si="239"/>
        <v>18.099999999999945</v>
      </c>
      <c r="C545" s="342"/>
      <c r="D545" s="359">
        <f t="shared" ca="1" si="240"/>
        <v>-0.24833151189704442</v>
      </c>
      <c r="E545" s="360">
        <f t="shared" ca="1" si="241"/>
        <v>-9.7491844621741262</v>
      </c>
      <c r="F545" s="357">
        <f t="shared" ca="1" si="242"/>
        <v>9.7523467030914404</v>
      </c>
      <c r="G545" s="359">
        <f t="shared" ca="1" si="243"/>
        <v>29.420734750008695</v>
      </c>
      <c r="H545" s="360">
        <f t="shared" ca="1" si="244"/>
        <v>-8.1860373043111565</v>
      </c>
      <c r="I545" s="357">
        <f t="shared" ca="1" si="245"/>
        <v>30.538350315266591</v>
      </c>
      <c r="J545" s="359">
        <f t="shared" ca="1" si="246"/>
        <v>571.38170530875323</v>
      </c>
      <c r="K545" s="360">
        <f t="shared" ca="1" si="247"/>
        <v>1411.9251854050124</v>
      </c>
      <c r="L545" s="357">
        <f t="shared" ca="1" si="232"/>
        <v>1523.1578323806491</v>
      </c>
      <c r="M545" s="359">
        <f t="shared" ca="1" si="248"/>
        <v>-0.27137629161315074</v>
      </c>
      <c r="N545" s="357">
        <f t="shared" ca="1" si="249"/>
        <v>-15.548716169345017</v>
      </c>
      <c r="O545" s="343"/>
      <c r="P545" s="363">
        <f t="shared" ca="1" si="250"/>
        <v>23</v>
      </c>
      <c r="Q545" s="357">
        <f t="shared" ca="1" si="251"/>
        <v>0</v>
      </c>
      <c r="R545" s="359">
        <f t="shared" ca="1" si="252"/>
        <v>0</v>
      </c>
      <c r="S545" s="360">
        <f t="shared" ca="1" si="253"/>
        <v>8.6519999999999992</v>
      </c>
      <c r="T545" s="357">
        <f t="shared" ca="1" si="233"/>
        <v>84.87612</v>
      </c>
      <c r="U545" s="364">
        <f t="shared" ca="1" si="234"/>
        <v>0</v>
      </c>
      <c r="V545" s="359">
        <f t="shared" ca="1" si="235"/>
        <v>1.0634443867476155</v>
      </c>
      <c r="W545" s="357">
        <f t="shared" ca="1" si="236"/>
        <v>2.2448407972925621</v>
      </c>
      <c r="X545" s="343"/>
      <c r="Y545" s="367" t="str">
        <f t="shared" ca="1" si="254"/>
        <v/>
      </c>
      <c r="Z545" s="368" t="str">
        <f t="shared" ca="1" si="255"/>
        <v/>
      </c>
      <c r="AA545" s="369" t="str">
        <f t="shared" ca="1" si="256"/>
        <v/>
      </c>
      <c r="AB545" s="344"/>
      <c r="AC545" s="363" t="e">
        <f t="shared" ca="1" si="257"/>
        <v>#N/A</v>
      </c>
      <c r="AD545" s="376" t="e">
        <f t="shared" ca="1" si="258"/>
        <v>#N/A</v>
      </c>
      <c r="AE545" s="377" t="e">
        <f t="shared" ca="1" si="237"/>
        <v>#N/A</v>
      </c>
      <c r="AF545" s="344"/>
      <c r="AG545" s="359">
        <f t="shared" ca="1" si="259"/>
        <v>2.0778099874986253</v>
      </c>
      <c r="AH545" s="357">
        <f t="shared" ca="1" si="260"/>
        <v>-0.25566984460847619</v>
      </c>
    </row>
    <row r="546" spans="1:34" x14ac:dyDescent="0.25">
      <c r="A546" s="402">
        <f t="shared" ca="1" si="238"/>
        <v>0.1</v>
      </c>
      <c r="B546" s="357">
        <f t="shared" ca="1" si="239"/>
        <v>18.199999999999946</v>
      </c>
      <c r="C546" s="342"/>
      <c r="D546" s="359">
        <f t="shared" ca="1" si="240"/>
        <v>-0.24996371902828735</v>
      </c>
      <c r="E546" s="360">
        <f t="shared" ca="1" si="241"/>
        <v>-9.740449992290241</v>
      </c>
      <c r="F546" s="357">
        <f t="shared" ca="1" si="242"/>
        <v>9.7436568039487828</v>
      </c>
      <c r="G546" s="359">
        <f t="shared" ca="1" si="243"/>
        <v>29.395738378105865</v>
      </c>
      <c r="H546" s="360">
        <f t="shared" ca="1" si="244"/>
        <v>-9.1600823035401806</v>
      </c>
      <c r="I546" s="357">
        <f t="shared" ca="1" si="245"/>
        <v>30.789877274871948</v>
      </c>
      <c r="J546" s="359">
        <f t="shared" ca="1" si="246"/>
        <v>574.32252896515899</v>
      </c>
      <c r="K546" s="360">
        <f t="shared" ca="1" si="247"/>
        <v>1411.0578794246198</v>
      </c>
      <c r="L546" s="357">
        <f t="shared" ca="1" si="232"/>
        <v>1523.4601098693856</v>
      </c>
      <c r="M546" s="359">
        <f t="shared" ca="1" si="248"/>
        <v>-0.30207620942628888</v>
      </c>
      <c r="N546" s="357">
        <f t="shared" ca="1" si="249"/>
        <v>-17.307691891436328</v>
      </c>
      <c r="O546" s="343"/>
      <c r="P546" s="363">
        <f t="shared" ca="1" si="250"/>
        <v>23</v>
      </c>
      <c r="Q546" s="357">
        <f t="shared" ca="1" si="251"/>
        <v>0</v>
      </c>
      <c r="R546" s="359">
        <f t="shared" ca="1" si="252"/>
        <v>0</v>
      </c>
      <c r="S546" s="360">
        <f t="shared" ca="1" si="253"/>
        <v>8.6519999999999992</v>
      </c>
      <c r="T546" s="357">
        <f t="shared" ca="1" si="233"/>
        <v>84.87612</v>
      </c>
      <c r="U546" s="364">
        <f t="shared" ca="1" si="234"/>
        <v>0</v>
      </c>
      <c r="V546" s="359">
        <f t="shared" ca="1" si="235"/>
        <v>1.0635370856471096</v>
      </c>
      <c r="W546" s="357">
        <f t="shared" ca="1" si="236"/>
        <v>2.2821709451905372</v>
      </c>
      <c r="X546" s="343"/>
      <c r="Y546" s="367" t="str">
        <f t="shared" ca="1" si="254"/>
        <v/>
      </c>
      <c r="Z546" s="368" t="str">
        <f t="shared" ca="1" si="255"/>
        <v/>
      </c>
      <c r="AA546" s="369" t="str">
        <f t="shared" ca="1" si="256"/>
        <v/>
      </c>
      <c r="AB546" s="344"/>
      <c r="AC546" s="363" t="e">
        <f t="shared" ca="1" si="257"/>
        <v>#N/A</v>
      </c>
      <c r="AD546" s="376" t="e">
        <f t="shared" ca="1" si="258"/>
        <v>#N/A</v>
      </c>
      <c r="AE546" s="377" t="e">
        <f t="shared" ca="1" si="237"/>
        <v>#N/A</v>
      </c>
      <c r="AF546" s="344"/>
      <c r="AG546" s="359">
        <f t="shared" ca="1" si="259"/>
        <v>2.370186011220901</v>
      </c>
      <c r="AH546" s="357">
        <f t="shared" ca="1" si="260"/>
        <v>-0.25945917675595959</v>
      </c>
    </row>
    <row r="547" spans="1:34" x14ac:dyDescent="0.25">
      <c r="A547" s="402">
        <f t="shared" ca="1" si="238"/>
        <v>0.1</v>
      </c>
      <c r="B547" s="357">
        <f t="shared" ca="1" si="239"/>
        <v>18.299999999999947</v>
      </c>
      <c r="C547" s="342"/>
      <c r="D547" s="359">
        <f t="shared" ca="1" si="240"/>
        <v>-0.25183035451289348</v>
      </c>
      <c r="E547" s="360">
        <f t="shared" ca="1" si="241"/>
        <v>-9.7315264898538523</v>
      </c>
      <c r="F547" s="357">
        <f t="shared" ca="1" si="242"/>
        <v>9.7347843504713207</v>
      </c>
      <c r="G547" s="359">
        <f t="shared" ca="1" si="243"/>
        <v>29.370555342654576</v>
      </c>
      <c r="H547" s="360">
        <f t="shared" ca="1" si="244"/>
        <v>-10.133234952525566</v>
      </c>
      <c r="I547" s="357">
        <f t="shared" ca="1" si="245"/>
        <v>31.069470091055965</v>
      </c>
      <c r="J547" s="359">
        <f t="shared" ca="1" si="246"/>
        <v>577.26084365119698</v>
      </c>
      <c r="K547" s="360">
        <f t="shared" ca="1" si="247"/>
        <v>1410.0932135618166</v>
      </c>
      <c r="L547" s="357">
        <f t="shared" ca="1" si="232"/>
        <v>1523.6774437347237</v>
      </c>
      <c r="M547" s="359">
        <f t="shared" ca="1" si="248"/>
        <v>-0.33222551913549059</v>
      </c>
      <c r="N547" s="357">
        <f t="shared" ca="1" si="249"/>
        <v>-19.03512009300638</v>
      </c>
      <c r="O547" s="343"/>
      <c r="P547" s="363">
        <f t="shared" ca="1" si="250"/>
        <v>23</v>
      </c>
      <c r="Q547" s="357">
        <f t="shared" ca="1" si="251"/>
        <v>0</v>
      </c>
      <c r="R547" s="359">
        <f t="shared" ca="1" si="252"/>
        <v>0</v>
      </c>
      <c r="S547" s="360">
        <f t="shared" ca="1" si="253"/>
        <v>8.6519999999999992</v>
      </c>
      <c r="T547" s="357">
        <f t="shared" ca="1" si="233"/>
        <v>84.87612</v>
      </c>
      <c r="U547" s="364">
        <f t="shared" ca="1" si="234"/>
        <v>0</v>
      </c>
      <c r="V547" s="359">
        <f t="shared" ca="1" si="235"/>
        <v>1.0636401993318685</v>
      </c>
      <c r="W547" s="357">
        <f t="shared" ca="1" si="236"/>
        <v>2.3240317286243943</v>
      </c>
      <c r="X547" s="343"/>
      <c r="Y547" s="367" t="str">
        <f t="shared" ca="1" si="254"/>
        <v/>
      </c>
      <c r="Z547" s="368" t="str">
        <f t="shared" ca="1" si="255"/>
        <v/>
      </c>
      <c r="AA547" s="369" t="str">
        <f t="shared" ca="1" si="256"/>
        <v/>
      </c>
      <c r="AB547" s="344"/>
      <c r="AC547" s="363" t="e">
        <f t="shared" ca="1" si="257"/>
        <v>#N/A</v>
      </c>
      <c r="AD547" s="376" t="e">
        <f t="shared" ca="1" si="258"/>
        <v>#N/A</v>
      </c>
      <c r="AE547" s="377" t="e">
        <f t="shared" ca="1" si="237"/>
        <v>#N/A</v>
      </c>
      <c r="AF547" s="344"/>
      <c r="AG547" s="359">
        <f t="shared" ca="1" si="259"/>
        <v>2.6547310870876486</v>
      </c>
      <c r="AH547" s="357">
        <f t="shared" ca="1" si="260"/>
        <v>-0.26377380318892019</v>
      </c>
    </row>
    <row r="548" spans="1:34" x14ac:dyDescent="0.25">
      <c r="A548" s="402">
        <f t="shared" ca="1" si="238"/>
        <v>0.1</v>
      </c>
      <c r="B548" s="357">
        <f t="shared" ca="1" si="239"/>
        <v>18.399999999999949</v>
      </c>
      <c r="C548" s="342"/>
      <c r="D548" s="359">
        <f t="shared" ca="1" si="240"/>
        <v>-0.25392406051781952</v>
      </c>
      <c r="E548" s="360">
        <f t="shared" ca="1" si="241"/>
        <v>-9.7223927983210618</v>
      </c>
      <c r="F548" s="357">
        <f t="shared" ca="1" si="242"/>
        <v>9.7257081569084267</v>
      </c>
      <c r="G548" s="359">
        <f t="shared" ca="1" si="243"/>
        <v>29.345162936602794</v>
      </c>
      <c r="H548" s="360">
        <f t="shared" ca="1" si="244"/>
        <v>-11.105474232357672</v>
      </c>
      <c r="I548" s="357">
        <f t="shared" ca="1" si="245"/>
        <v>31.376267236580684</v>
      </c>
      <c r="J548" s="359">
        <f t="shared" ca="1" si="246"/>
        <v>580.19662956515981</v>
      </c>
      <c r="K548" s="360">
        <f t="shared" ca="1" si="247"/>
        <v>1409.0312781025725</v>
      </c>
      <c r="L548" s="357">
        <f t="shared" ca="1" si="232"/>
        <v>1523.8101166582865</v>
      </c>
      <c r="M548" s="359">
        <f t="shared" ca="1" si="248"/>
        <v>-0.36178585027460419</v>
      </c>
      <c r="N548" s="357">
        <f t="shared" ca="1" si="249"/>
        <v>-20.728802308286735</v>
      </c>
      <c r="O548" s="343"/>
      <c r="P548" s="363">
        <f t="shared" ca="1" si="250"/>
        <v>23</v>
      </c>
      <c r="Q548" s="357">
        <f t="shared" ca="1" si="251"/>
        <v>0</v>
      </c>
      <c r="R548" s="359">
        <f t="shared" ca="1" si="252"/>
        <v>0</v>
      </c>
      <c r="S548" s="360">
        <f t="shared" ca="1" si="253"/>
        <v>8.6519999999999992</v>
      </c>
      <c r="T548" s="357">
        <f t="shared" ca="1" si="233"/>
        <v>84.87612</v>
      </c>
      <c r="U548" s="364">
        <f t="shared" ca="1" si="234"/>
        <v>0</v>
      </c>
      <c r="V548" s="359">
        <f t="shared" ca="1" si="235"/>
        <v>1.0637537209643775</v>
      </c>
      <c r="W548" s="357">
        <f t="shared" ca="1" si="236"/>
        <v>2.3704088541617252</v>
      </c>
      <c r="X548" s="343"/>
      <c r="Y548" s="367" t="str">
        <f t="shared" ca="1" si="254"/>
        <v/>
      </c>
      <c r="Z548" s="368" t="str">
        <f t="shared" ca="1" si="255"/>
        <v/>
      </c>
      <c r="AA548" s="369" t="str">
        <f t="shared" ca="1" si="256"/>
        <v/>
      </c>
      <c r="AB548" s="344"/>
      <c r="AC548" s="363" t="e">
        <f t="shared" ca="1" si="257"/>
        <v>#N/A</v>
      </c>
      <c r="AD548" s="376" t="e">
        <f t="shared" ca="1" si="258"/>
        <v>#N/A</v>
      </c>
      <c r="AE548" s="377" t="e">
        <f t="shared" ca="1" si="237"/>
        <v>#N/A</v>
      </c>
      <c r="AF548" s="344"/>
      <c r="AG548" s="359">
        <f t="shared" ca="1" si="259"/>
        <v>2.9308964583877364</v>
      </c>
      <c r="AH548" s="357">
        <f t="shared" ca="1" si="260"/>
        <v>-0.26861208144063736</v>
      </c>
    </row>
    <row r="549" spans="1:34" x14ac:dyDescent="0.25">
      <c r="A549" s="402">
        <f t="shared" ca="1" si="238"/>
        <v>0.1</v>
      </c>
      <c r="B549" s="357">
        <f t="shared" ca="1" si="239"/>
        <v>18.49999999999995</v>
      </c>
      <c r="C549" s="342"/>
      <c r="D549" s="359">
        <f t="shared" ca="1" si="240"/>
        <v>-0.25623709373216569</v>
      </c>
      <c r="E549" s="360">
        <f t="shared" ca="1" si="241"/>
        <v>-9.7130288416539212</v>
      </c>
      <c r="F549" s="357">
        <f t="shared" ca="1" si="242"/>
        <v>9.7164081185901825</v>
      </c>
      <c r="G549" s="359">
        <f t="shared" ca="1" si="243"/>
        <v>29.319539227229576</v>
      </c>
      <c r="H549" s="360">
        <f t="shared" ca="1" si="244"/>
        <v>-12.076777116523065</v>
      </c>
      <c r="I549" s="357">
        <f t="shared" ca="1" si="245"/>
        <v>31.709366534499377</v>
      </c>
      <c r="J549" s="359">
        <f t="shared" ca="1" si="246"/>
        <v>583.12986467335145</v>
      </c>
      <c r="K549" s="360">
        <f t="shared" ca="1" si="247"/>
        <v>1407.8721655351285</v>
      </c>
      <c r="L549" s="357">
        <f t="shared" ca="1" si="232"/>
        <v>1523.8584165080867</v>
      </c>
      <c r="M549" s="359">
        <f t="shared" ca="1" si="248"/>
        <v>-0.39072443642140114</v>
      </c>
      <c r="N549" s="357">
        <f t="shared" ca="1" si="249"/>
        <v>-22.386861159573954</v>
      </c>
      <c r="O549" s="343"/>
      <c r="P549" s="363">
        <f t="shared" ca="1" si="250"/>
        <v>23</v>
      </c>
      <c r="Q549" s="357">
        <f t="shared" ca="1" si="251"/>
        <v>0</v>
      </c>
      <c r="R549" s="359">
        <f t="shared" ca="1" si="252"/>
        <v>0</v>
      </c>
      <c r="S549" s="360">
        <f t="shared" ca="1" si="253"/>
        <v>8.6519999999999992</v>
      </c>
      <c r="T549" s="357">
        <f t="shared" ca="1" si="233"/>
        <v>84.87612</v>
      </c>
      <c r="U549" s="364">
        <f t="shared" ca="1" si="234"/>
        <v>0</v>
      </c>
      <c r="V549" s="359">
        <f t="shared" ca="1" si="235"/>
        <v>1.063877643752277</v>
      </c>
      <c r="W549" s="357">
        <f t="shared" ca="1" si="236"/>
        <v>2.4212879062560044</v>
      </c>
      <c r="X549" s="343"/>
      <c r="Y549" s="367" t="str">
        <f t="shared" ca="1" si="254"/>
        <v/>
      </c>
      <c r="Z549" s="368" t="str">
        <f t="shared" ca="1" si="255"/>
        <v/>
      </c>
      <c r="AA549" s="369" t="str">
        <f t="shared" ca="1" si="256"/>
        <v/>
      </c>
      <c r="AB549" s="344"/>
      <c r="AC549" s="363" t="e">
        <f t="shared" ca="1" si="257"/>
        <v>#N/A</v>
      </c>
      <c r="AD549" s="376" t="e">
        <f t="shared" ca="1" si="258"/>
        <v>#N/A</v>
      </c>
      <c r="AE549" s="377" t="e">
        <f t="shared" ca="1" si="237"/>
        <v>#N/A</v>
      </c>
      <c r="AF549" s="344"/>
      <c r="AG549" s="359">
        <f t="shared" ca="1" si="259"/>
        <v>3.1982285048926782</v>
      </c>
      <c r="AH549" s="357">
        <f t="shared" ca="1" si="260"/>
        <v>-0.27397235947315363</v>
      </c>
    </row>
    <row r="550" spans="1:34" x14ac:dyDescent="0.25">
      <c r="A550" s="402">
        <f t="shared" ca="1" si="238"/>
        <v>0.1</v>
      </c>
      <c r="B550" s="357">
        <f t="shared" ca="1" si="239"/>
        <v>18.599999999999952</v>
      </c>
      <c r="C550" s="342"/>
      <c r="D550" s="359">
        <f t="shared" ca="1" si="240"/>
        <v>-0.25876140275803566</v>
      </c>
      <c r="E550" s="360">
        <f t="shared" ca="1" si="241"/>
        <v>-9.7034156583004751</v>
      </c>
      <c r="F550" s="357">
        <f t="shared" ca="1" si="242"/>
        <v>9.7068652458612075</v>
      </c>
      <c r="G550" s="359">
        <f t="shared" ca="1" si="243"/>
        <v>29.293663086953774</v>
      </c>
      <c r="H550" s="360">
        <f t="shared" ca="1" si="244"/>
        <v>-13.047118682353112</v>
      </c>
      <c r="I550" s="357">
        <f t="shared" ca="1" si="245"/>
        <v>32.06783439777881</v>
      </c>
      <c r="J550" s="359">
        <f t="shared" ca="1" si="246"/>
        <v>586.06052478906065</v>
      </c>
      <c r="K550" s="360">
        <f t="shared" ca="1" si="247"/>
        <v>1406.6159707451848</v>
      </c>
      <c r="L550" s="357">
        <f t="shared" ca="1" si="232"/>
        <v>1523.8226366186609</v>
      </c>
      <c r="M550" s="359">
        <f t="shared" ca="1" si="248"/>
        <v>-0.4190140411403398</v>
      </c>
      <c r="N550" s="357">
        <f t="shared" ca="1" si="249"/>
        <v>-24.007736114062514</v>
      </c>
      <c r="O550" s="343"/>
      <c r="P550" s="363">
        <f t="shared" ca="1" si="250"/>
        <v>23</v>
      </c>
      <c r="Q550" s="357">
        <f t="shared" ca="1" si="251"/>
        <v>0</v>
      </c>
      <c r="R550" s="359">
        <f t="shared" ca="1" si="252"/>
        <v>0</v>
      </c>
      <c r="S550" s="360">
        <f t="shared" ca="1" si="253"/>
        <v>8.6519999999999992</v>
      </c>
      <c r="T550" s="357">
        <f t="shared" ca="1" si="233"/>
        <v>84.87612</v>
      </c>
      <c r="U550" s="364">
        <f t="shared" ca="1" si="234"/>
        <v>0</v>
      </c>
      <c r="V550" s="359">
        <f t="shared" ca="1" si="235"/>
        <v>1.0640119609266885</v>
      </c>
      <c r="W550" s="357">
        <f t="shared" ca="1" si="236"/>
        <v>2.4766543101657952</v>
      </c>
      <c r="X550" s="343"/>
      <c r="Y550" s="367" t="str">
        <f t="shared" ca="1" si="254"/>
        <v/>
      </c>
      <c r="Z550" s="368" t="str">
        <f t="shared" ca="1" si="255"/>
        <v/>
      </c>
      <c r="AA550" s="369" t="str">
        <f t="shared" ca="1" si="256"/>
        <v/>
      </c>
      <c r="AB550" s="344"/>
      <c r="AC550" s="363" t="e">
        <f t="shared" ca="1" si="257"/>
        <v>#N/A</v>
      </c>
      <c r="AD550" s="376" t="e">
        <f t="shared" ca="1" si="258"/>
        <v>#N/A</v>
      </c>
      <c r="AE550" s="377" t="e">
        <f t="shared" ca="1" si="237"/>
        <v>#N/A</v>
      </c>
      <c r="AF550" s="344"/>
      <c r="AG550" s="359">
        <f t="shared" ca="1" si="259"/>
        <v>3.4563674728845521</v>
      </c>
      <c r="AH550" s="357">
        <f t="shared" ca="1" si="260"/>
        <v>-0.27985297113453589</v>
      </c>
    </row>
    <row r="551" spans="1:34" x14ac:dyDescent="0.25">
      <c r="A551" s="402">
        <f t="shared" ca="1" si="238"/>
        <v>0.1</v>
      </c>
      <c r="B551" s="357">
        <f t="shared" ca="1" si="239"/>
        <v>18.699999999999953</v>
      </c>
      <c r="C551" s="342"/>
      <c r="D551" s="359">
        <f t="shared" ca="1" si="240"/>
        <v>-0.26148870342672959</v>
      </c>
      <c r="E551" s="360">
        <f t="shared" ca="1" si="241"/>
        <v>-9.6935354206957278</v>
      </c>
      <c r="F551" s="357">
        <f t="shared" ca="1" si="242"/>
        <v>9.6970616835360222</v>
      </c>
      <c r="G551" s="359">
        <f t="shared" ca="1" si="243"/>
        <v>29.267514216611101</v>
      </c>
      <c r="H551" s="360">
        <f t="shared" ca="1" si="244"/>
        <v>-14.016472224422685</v>
      </c>
      <c r="I551" s="357">
        <f t="shared" ca="1" si="245"/>
        <v>32.450714661429963</v>
      </c>
      <c r="J551" s="359">
        <f t="shared" ca="1" si="246"/>
        <v>588.98858365423894</v>
      </c>
      <c r="K551" s="360">
        <f t="shared" ca="1" si="247"/>
        <v>1405.2627911998459</v>
      </c>
      <c r="L551" s="357">
        <f t="shared" ca="1" si="232"/>
        <v>1523.703076063643</v>
      </c>
      <c r="M551" s="359">
        <f t="shared" ca="1" si="248"/>
        <v>-0.44663279033233566</v>
      </c>
      <c r="N551" s="357">
        <f t="shared" ca="1" si="249"/>
        <v>-25.590173878194229</v>
      </c>
      <c r="O551" s="343"/>
      <c r="P551" s="363">
        <f t="shared" ca="1" si="250"/>
        <v>23</v>
      </c>
      <c r="Q551" s="357">
        <f t="shared" ca="1" si="251"/>
        <v>0</v>
      </c>
      <c r="R551" s="359">
        <f t="shared" ca="1" si="252"/>
        <v>0</v>
      </c>
      <c r="S551" s="360">
        <f t="shared" ca="1" si="253"/>
        <v>8.6519999999999992</v>
      </c>
      <c r="T551" s="357">
        <f t="shared" ca="1" si="233"/>
        <v>84.87612</v>
      </c>
      <c r="U551" s="364">
        <f t="shared" ca="1" si="234"/>
        <v>0</v>
      </c>
      <c r="V551" s="359">
        <f t="shared" ca="1" si="235"/>
        <v>1.064156665721709</v>
      </c>
      <c r="W551" s="357">
        <f t="shared" ca="1" si="236"/>
        <v>2.5364932971330836</v>
      </c>
      <c r="X551" s="343"/>
      <c r="Y551" s="367" t="str">
        <f t="shared" ca="1" si="254"/>
        <v/>
      </c>
      <c r="Z551" s="368" t="str">
        <f t="shared" ca="1" si="255"/>
        <v/>
      </c>
      <c r="AA551" s="369" t="str">
        <f t="shared" ca="1" si="256"/>
        <v/>
      </c>
      <c r="AB551" s="344"/>
      <c r="AC551" s="363" t="e">
        <f t="shared" ca="1" si="257"/>
        <v>#N/A</v>
      </c>
      <c r="AD551" s="376" t="e">
        <f t="shared" ca="1" si="258"/>
        <v>#N/A</v>
      </c>
      <c r="AE551" s="377" t="e">
        <f t="shared" ca="1" si="237"/>
        <v>#N/A</v>
      </c>
      <c r="AF551" s="344"/>
      <c r="AG551" s="359">
        <f t="shared" ca="1" si="259"/>
        <v>3.7050442394205918</v>
      </c>
      <c r="AH551" s="357">
        <f t="shared" ca="1" si="260"/>
        <v>-0.28625223187306925</v>
      </c>
    </row>
    <row r="552" spans="1:34" x14ac:dyDescent="0.25">
      <c r="A552" s="402">
        <f t="shared" ca="1" si="238"/>
        <v>0.1</v>
      </c>
      <c r="B552" s="357">
        <f t="shared" ca="1" si="239"/>
        <v>18.799999999999955</v>
      </c>
      <c r="C552" s="342"/>
      <c r="D552" s="359">
        <f t="shared" ca="1" si="240"/>
        <v>-0.26441055059443258</v>
      </c>
      <c r="E552" s="360">
        <f t="shared" ca="1" si="241"/>
        <v>-9.6833714414274468</v>
      </c>
      <c r="F552" s="357">
        <f t="shared" ca="1" si="242"/>
        <v>9.6869807170200524</v>
      </c>
      <c r="G552" s="359">
        <f t="shared" ca="1" si="243"/>
        <v>29.241073161551657</v>
      </c>
      <c r="H552" s="360">
        <f t="shared" ca="1" si="244"/>
        <v>-14.984809368565429</v>
      </c>
      <c r="I552" s="357">
        <f t="shared" ca="1" si="245"/>
        <v>32.85703686353142</v>
      </c>
      <c r="J552" s="359">
        <f t="shared" ca="1" si="246"/>
        <v>591.91401302314705</v>
      </c>
      <c r="K552" s="360">
        <f t="shared" ca="1" si="247"/>
        <v>1403.8127271201965</v>
      </c>
      <c r="L552" s="357">
        <f t="shared" ca="1" si="232"/>
        <v>1523.5000399205146</v>
      </c>
      <c r="M552" s="359">
        <f t="shared" ca="1" si="248"/>
        <v>-0.47356392700325672</v>
      </c>
      <c r="N552" s="357">
        <f t="shared" ca="1" si="249"/>
        <v>-27.13321434692801</v>
      </c>
      <c r="O552" s="343"/>
      <c r="P552" s="363">
        <f t="shared" ca="1" si="250"/>
        <v>23</v>
      </c>
      <c r="Q552" s="357">
        <f t="shared" ca="1" si="251"/>
        <v>0</v>
      </c>
      <c r="R552" s="359">
        <f t="shared" ca="1" si="252"/>
        <v>0</v>
      </c>
      <c r="S552" s="360">
        <f t="shared" ca="1" si="253"/>
        <v>8.6519999999999992</v>
      </c>
      <c r="T552" s="357">
        <f t="shared" ca="1" si="233"/>
        <v>84.87612</v>
      </c>
      <c r="U552" s="364">
        <f t="shared" ca="1" si="234"/>
        <v>0</v>
      </c>
      <c r="V552" s="359">
        <f t="shared" ca="1" si="235"/>
        <v>1.0643117513550948</v>
      </c>
      <c r="W552" s="357">
        <f t="shared" ca="1" si="236"/>
        <v>2.6007898718317595</v>
      </c>
      <c r="X552" s="343"/>
      <c r="Y552" s="367" t="str">
        <f t="shared" ca="1" si="254"/>
        <v/>
      </c>
      <c r="Z552" s="368" t="str">
        <f t="shared" ca="1" si="255"/>
        <v/>
      </c>
      <c r="AA552" s="369" t="str">
        <f t="shared" ca="1" si="256"/>
        <v/>
      </c>
      <c r="AB552" s="344"/>
      <c r="AC552" s="363" t="e">
        <f t="shared" ca="1" si="257"/>
        <v>#N/A</v>
      </c>
      <c r="AD552" s="376" t="e">
        <f t="shared" ca="1" si="258"/>
        <v>#N/A</v>
      </c>
      <c r="AE552" s="377" t="e">
        <f t="shared" ca="1" si="237"/>
        <v>#N/A</v>
      </c>
      <c r="AF552" s="344"/>
      <c r="AG552" s="359">
        <f t="shared" ca="1" si="259"/>
        <v>3.9440754582552939</v>
      </c>
      <c r="AH552" s="357">
        <f t="shared" ca="1" si="260"/>
        <v>-0.29316843471256171</v>
      </c>
    </row>
    <row r="553" spans="1:34" x14ac:dyDescent="0.25">
      <c r="A553" s="402">
        <f t="shared" ca="1" si="238"/>
        <v>0.1</v>
      </c>
      <c r="B553" s="357">
        <f t="shared" ca="1" si="239"/>
        <v>18.899999999999956</v>
      </c>
      <c r="C553" s="342"/>
      <c r="D553" s="359">
        <f t="shared" ca="1" si="240"/>
        <v>-0.26751840526807358</v>
      </c>
      <c r="E553" s="360">
        <f t="shared" ca="1" si="241"/>
        <v>-9.6729081674473001</v>
      </c>
      <c r="F553" s="357">
        <f t="shared" ca="1" si="242"/>
        <v>9.6766067664768656</v>
      </c>
      <c r="G553" s="359">
        <f t="shared" ca="1" si="243"/>
        <v>29.214321321024851</v>
      </c>
      <c r="H553" s="360">
        <f t="shared" ca="1" si="244"/>
        <v>-15.95210018531016</v>
      </c>
      <c r="I553" s="357">
        <f t="shared" ca="1" si="245"/>
        <v>33.285823867981094</v>
      </c>
      <c r="J553" s="359">
        <f t="shared" ca="1" si="246"/>
        <v>594.83678274727583</v>
      </c>
      <c r="K553" s="360">
        <f t="shared" ca="1" si="247"/>
        <v>1402.2658816425028</v>
      </c>
      <c r="L553" s="357">
        <f t="shared" ca="1" si="232"/>
        <v>1523.2138395273842</v>
      </c>
      <c r="M553" s="359">
        <f t="shared" ca="1" si="248"/>
        <v>-0.4997955049510972</v>
      </c>
      <c r="N553" s="357">
        <f t="shared" ca="1" si="249"/>
        <v>-28.636173053307711</v>
      </c>
      <c r="O553" s="343"/>
      <c r="P553" s="363">
        <f t="shared" ca="1" si="250"/>
        <v>23</v>
      </c>
      <c r="Q553" s="357">
        <f t="shared" ca="1" si="251"/>
        <v>0</v>
      </c>
      <c r="R553" s="359">
        <f t="shared" ca="1" si="252"/>
        <v>0</v>
      </c>
      <c r="S553" s="360">
        <f t="shared" ca="1" si="253"/>
        <v>8.6519999999999992</v>
      </c>
      <c r="T553" s="357">
        <f t="shared" ca="1" si="233"/>
        <v>84.87612</v>
      </c>
      <c r="U553" s="364">
        <f t="shared" ca="1" si="234"/>
        <v>0</v>
      </c>
      <c r="V553" s="359">
        <f t="shared" ca="1" si="235"/>
        <v>1.0644772110101237</v>
      </c>
      <c r="W553" s="357">
        <f t="shared" ca="1" si="236"/>
        <v>2.6695287820744609</v>
      </c>
      <c r="X553" s="343"/>
      <c r="Y553" s="367" t="str">
        <f t="shared" ca="1" si="254"/>
        <v/>
      </c>
      <c r="Z553" s="368" t="str">
        <f t="shared" ca="1" si="255"/>
        <v/>
      </c>
      <c r="AA553" s="369" t="str">
        <f t="shared" ca="1" si="256"/>
        <v/>
      </c>
      <c r="AB553" s="344"/>
      <c r="AC553" s="363" t="e">
        <f t="shared" ca="1" si="257"/>
        <v>#N/A</v>
      </c>
      <c r="AD553" s="376" t="e">
        <f t="shared" ca="1" si="258"/>
        <v>#N/A</v>
      </c>
      <c r="AE553" s="377" t="e">
        <f t="shared" ca="1" si="237"/>
        <v>#N/A</v>
      </c>
      <c r="AF553" s="344"/>
      <c r="AG553" s="359">
        <f t="shared" ca="1" si="259"/>
        <v>4.1733574527083537</v>
      </c>
      <c r="AH553" s="357">
        <f t="shared" ca="1" si="260"/>
        <v>-0.30059984649003235</v>
      </c>
    </row>
    <row r="554" spans="1:34" x14ac:dyDescent="0.25">
      <c r="A554" s="402">
        <f t="shared" ca="1" si="238"/>
        <v>0.1</v>
      </c>
      <c r="B554" s="357">
        <f t="shared" ca="1" si="239"/>
        <v>18.999999999999957</v>
      </c>
      <c r="C554" s="342"/>
      <c r="D554" s="359">
        <f t="shared" ca="1" si="240"/>
        <v>-0.27080369621199446</v>
      </c>
      <c r="E554" s="360">
        <f t="shared" ca="1" si="241"/>
        <v>-9.6621311638543155</v>
      </c>
      <c r="F554" s="357">
        <f t="shared" ca="1" si="242"/>
        <v>9.6659253705688641</v>
      </c>
      <c r="G554" s="359">
        <f t="shared" ca="1" si="243"/>
        <v>29.187240951403652</v>
      </c>
      <c r="H554" s="360">
        <f t="shared" ca="1" si="244"/>
        <v>-16.918313301695591</v>
      </c>
      <c r="I554" s="357">
        <f t="shared" ca="1" si="245"/>
        <v>33.736098756815736</v>
      </c>
      <c r="J554" s="359">
        <f t="shared" ca="1" si="246"/>
        <v>597.75686086089729</v>
      </c>
      <c r="K554" s="360">
        <f t="shared" ca="1" si="247"/>
        <v>1400.6223609681524</v>
      </c>
      <c r="L554" s="357">
        <f t="shared" ca="1" si="232"/>
        <v>1522.8447927317725</v>
      </c>
      <c r="M554" s="359">
        <f t="shared" ca="1" si="248"/>
        <v>-0.52532003749769829</v>
      </c>
      <c r="N554" s="357">
        <f t="shared" ca="1" si="249"/>
        <v>-30.09862104227226</v>
      </c>
      <c r="O554" s="343"/>
      <c r="P554" s="363">
        <f t="shared" ca="1" si="250"/>
        <v>23</v>
      </c>
      <c r="Q554" s="357">
        <f t="shared" ca="1" si="251"/>
        <v>0</v>
      </c>
      <c r="R554" s="359">
        <f t="shared" ca="1" si="252"/>
        <v>0</v>
      </c>
      <c r="S554" s="360">
        <f t="shared" ca="1" si="253"/>
        <v>8.6519999999999992</v>
      </c>
      <c r="T554" s="357">
        <f t="shared" ca="1" si="233"/>
        <v>84.87612</v>
      </c>
      <c r="U554" s="364">
        <f t="shared" ca="1" si="234"/>
        <v>0</v>
      </c>
      <c r="V554" s="359">
        <f t="shared" ca="1" si="235"/>
        <v>1.0646530378186287</v>
      </c>
      <c r="W554" s="357">
        <f t="shared" ca="1" si="236"/>
        <v>2.7426944907460418</v>
      </c>
      <c r="X554" s="343"/>
      <c r="Y554" s="367" t="str">
        <f t="shared" ca="1" si="254"/>
        <v/>
      </c>
      <c r="Z554" s="368" t="str">
        <f t="shared" ca="1" si="255"/>
        <v/>
      </c>
      <c r="AA554" s="369" t="str">
        <f t="shared" ca="1" si="256"/>
        <v/>
      </c>
      <c r="AB554" s="344"/>
      <c r="AC554" s="363">
        <f t="shared" ca="1" si="257"/>
        <v>18.999999999999957</v>
      </c>
      <c r="AD554" s="376">
        <f t="shared" ca="1" si="258"/>
        <v>597.75686086089729</v>
      </c>
      <c r="AE554" s="377" t="e">
        <f t="shared" ca="1" si="237"/>
        <v>#N/A</v>
      </c>
      <c r="AF554" s="344"/>
      <c r="AG554" s="359">
        <f t="shared" ca="1" si="259"/>
        <v>4.3928592157818764</v>
      </c>
      <c r="AH554" s="357">
        <f t="shared" ca="1" si="260"/>
        <v>-0.30854470435442222</v>
      </c>
    </row>
    <row r="555" spans="1:34" x14ac:dyDescent="0.25">
      <c r="A555" s="402">
        <f t="shared" ca="1" si="238"/>
        <v>0.1</v>
      </c>
      <c r="B555" s="357">
        <f t="shared" ca="1" si="239"/>
        <v>19.099999999999959</v>
      </c>
      <c r="C555" s="342"/>
      <c r="D555" s="359">
        <f t="shared" ca="1" si="240"/>
        <v>-0.27425787547283259</v>
      </c>
      <c r="E555" s="360">
        <f t="shared" ca="1" si="241"/>
        <v>-9.6510270888422696</v>
      </c>
      <c r="F555" s="357">
        <f t="shared" ca="1" si="242"/>
        <v>9.6549231613631274</v>
      </c>
      <c r="G555" s="359">
        <f t="shared" ca="1" si="243"/>
        <v>29.159815163856369</v>
      </c>
      <c r="H555" s="360">
        <f t="shared" ca="1" si="244"/>
        <v>-17.883416010579818</v>
      </c>
      <c r="I555" s="357">
        <f t="shared" ca="1" si="245"/>
        <v>34.206890951937304</v>
      </c>
      <c r="J555" s="359">
        <f t="shared" ca="1" si="246"/>
        <v>600.67421366666031</v>
      </c>
      <c r="K555" s="360">
        <f t="shared" ca="1" si="247"/>
        <v>1398.8822745025386</v>
      </c>
      <c r="L555" s="357">
        <f t="shared" ca="1" si="232"/>
        <v>1522.3932241314844</v>
      </c>
      <c r="M555" s="359">
        <f t="shared" ca="1" si="248"/>
        <v>-0.55013411634237008</v>
      </c>
      <c r="N555" s="357">
        <f t="shared" ca="1" si="249"/>
        <v>-31.520363032576814</v>
      </c>
      <c r="O555" s="343"/>
      <c r="P555" s="363">
        <f t="shared" ca="1" si="250"/>
        <v>23</v>
      </c>
      <c r="Q555" s="357">
        <f t="shared" ca="1" si="251"/>
        <v>0</v>
      </c>
      <c r="R555" s="359">
        <f t="shared" ca="1" si="252"/>
        <v>0</v>
      </c>
      <c r="S555" s="360">
        <f t="shared" ca="1" si="253"/>
        <v>8.6519999999999992</v>
      </c>
      <c r="T555" s="357">
        <f t="shared" ca="1" si="233"/>
        <v>84.87612</v>
      </c>
      <c r="U555" s="364">
        <f t="shared" ca="1" si="234"/>
        <v>0</v>
      </c>
      <c r="V555" s="359">
        <f t="shared" ca="1" si="235"/>
        <v>1.0648392248451728</v>
      </c>
      <c r="W555" s="357">
        <f t="shared" ca="1" si="236"/>
        <v>2.8202711499148561</v>
      </c>
      <c r="X555" s="343"/>
      <c r="Y555" s="367" t="str">
        <f t="shared" ca="1" si="254"/>
        <v/>
      </c>
      <c r="Z555" s="368" t="str">
        <f t="shared" ca="1" si="255"/>
        <v/>
      </c>
      <c r="AA555" s="369" t="str">
        <f t="shared" ca="1" si="256"/>
        <v/>
      </c>
      <c r="AB555" s="344"/>
      <c r="AC555" s="363" t="e">
        <f t="shared" ca="1" si="257"/>
        <v>#N/A</v>
      </c>
      <c r="AD555" s="376" t="e">
        <f t="shared" ca="1" si="258"/>
        <v>#N/A</v>
      </c>
      <c r="AE555" s="377" t="e">
        <f t="shared" ca="1" si="237"/>
        <v>#N/A</v>
      </c>
      <c r="AF555" s="344"/>
      <c r="AG555" s="359">
        <f t="shared" ca="1" si="259"/>
        <v>4.6026148547057124</v>
      </c>
      <c r="AH555" s="357">
        <f t="shared" ca="1" si="260"/>
        <v>-0.31700121252265856</v>
      </c>
    </row>
    <row r="556" spans="1:34" x14ac:dyDescent="0.25">
      <c r="A556" s="402">
        <f t="shared" ca="1" si="238"/>
        <v>0.1</v>
      </c>
      <c r="B556" s="357">
        <f t="shared" ca="1" si="239"/>
        <v>19.19999999999996</v>
      </c>
      <c r="C556" s="342"/>
      <c r="D556" s="359">
        <f t="shared" ca="1" si="240"/>
        <v>-0.27787246752105849</v>
      </c>
      <c r="E556" s="360">
        <f t="shared" ca="1" si="241"/>
        <v>-9.6395836613969745</v>
      </c>
      <c r="F556" s="357">
        <f t="shared" ca="1" si="242"/>
        <v>9.6435878319885564</v>
      </c>
      <c r="G556" s="359">
        <f t="shared" ca="1" si="243"/>
        <v>29.132027917104264</v>
      </c>
      <c r="H556" s="360">
        <f t="shared" ca="1" si="244"/>
        <v>-18.847374376719515</v>
      </c>
      <c r="I556" s="357">
        <f t="shared" ca="1" si="245"/>
        <v>34.697241554036616</v>
      </c>
      <c r="J556" s="359">
        <f t="shared" ca="1" si="246"/>
        <v>603.58880582070833</v>
      </c>
      <c r="K556" s="360">
        <f t="shared" ca="1" si="247"/>
        <v>1397.0457349831736</v>
      </c>
      <c r="L556" s="357">
        <f t="shared" ca="1" si="232"/>
        <v>1521.8594653077348</v>
      </c>
      <c r="M556" s="359">
        <f t="shared" ca="1" si="248"/>
        <v>-0.57423801408759079</v>
      </c>
      <c r="N556" s="357">
        <f t="shared" ca="1" si="249"/>
        <v>-32.901414643192865</v>
      </c>
      <c r="O556" s="343"/>
      <c r="P556" s="363">
        <f t="shared" ca="1" si="250"/>
        <v>23</v>
      </c>
      <c r="Q556" s="357">
        <f t="shared" ca="1" si="251"/>
        <v>0</v>
      </c>
      <c r="R556" s="359">
        <f t="shared" ca="1" si="252"/>
        <v>0</v>
      </c>
      <c r="S556" s="360">
        <f t="shared" ca="1" si="253"/>
        <v>8.6519999999999992</v>
      </c>
      <c r="T556" s="357">
        <f t="shared" ca="1" si="233"/>
        <v>84.87612</v>
      </c>
      <c r="U556" s="364">
        <f t="shared" ca="1" si="234"/>
        <v>0</v>
      </c>
      <c r="V556" s="359">
        <f t="shared" ca="1" si="235"/>
        <v>1.0650357650723381</v>
      </c>
      <c r="W556" s="357">
        <f t="shared" ca="1" si="236"/>
        <v>2.9022425770588702</v>
      </c>
      <c r="X556" s="343"/>
      <c r="Y556" s="367" t="str">
        <f t="shared" ca="1" si="254"/>
        <v/>
      </c>
      <c r="Z556" s="368" t="str">
        <f t="shared" ca="1" si="255"/>
        <v/>
      </c>
      <c r="AA556" s="369" t="str">
        <f t="shared" ca="1" si="256"/>
        <v/>
      </c>
      <c r="AB556" s="344"/>
      <c r="AC556" s="363" t="e">
        <f t="shared" ca="1" si="257"/>
        <v>#N/A</v>
      </c>
      <c r="AD556" s="376" t="e">
        <f t="shared" ca="1" si="258"/>
        <v>#N/A</v>
      </c>
      <c r="AE556" s="377" t="e">
        <f t="shared" ca="1" si="237"/>
        <v>#N/A</v>
      </c>
      <c r="AF556" s="344"/>
      <c r="AG556" s="359">
        <f t="shared" ca="1" si="259"/>
        <v>4.8027157809911163</v>
      </c>
      <c r="AH556" s="357">
        <f t="shared" ca="1" si="260"/>
        <v>-0.32596753928743138</v>
      </c>
    </row>
    <row r="557" spans="1:34" x14ac:dyDescent="0.25">
      <c r="A557" s="402">
        <f t="shared" ca="1" si="238"/>
        <v>0.1</v>
      </c>
      <c r="B557" s="357">
        <f t="shared" ca="1" si="239"/>
        <v>19.299999999999962</v>
      </c>
      <c r="C557" s="342"/>
      <c r="D557" s="359">
        <f t="shared" ca="1" si="240"/>
        <v>-0.28163911193463353</v>
      </c>
      <c r="E557" s="360">
        <f t="shared" ca="1" si="241"/>
        <v>-9.6277896232674465</v>
      </c>
      <c r="F557" s="357">
        <f t="shared" ca="1" si="242"/>
        <v>9.631908098568406</v>
      </c>
      <c r="G557" s="359">
        <f t="shared" ca="1" si="243"/>
        <v>29.1038640059108</v>
      </c>
      <c r="H557" s="360">
        <f t="shared" ca="1" si="244"/>
        <v>-19.810153339046259</v>
      </c>
      <c r="I557" s="357">
        <f t="shared" ca="1" si="245"/>
        <v>35.206207909842774</v>
      </c>
      <c r="J557" s="359">
        <f t="shared" ca="1" si="246"/>
        <v>606.50060041685913</v>
      </c>
      <c r="K557" s="360">
        <f t="shared" ca="1" si="247"/>
        <v>1395.1128585973854</v>
      </c>
      <c r="L557" s="357">
        <f t="shared" ca="1" si="232"/>
        <v>1521.2438550507866</v>
      </c>
      <c r="M557" s="359">
        <f t="shared" ca="1" si="248"/>
        <v>-0.59763528216623985</v>
      </c>
      <c r="N557" s="357">
        <f t="shared" ca="1" si="249"/>
        <v>-34.241979356235618</v>
      </c>
      <c r="O557" s="343"/>
      <c r="P557" s="363">
        <f t="shared" ca="1" si="250"/>
        <v>23</v>
      </c>
      <c r="Q557" s="357">
        <f t="shared" ca="1" si="251"/>
        <v>0</v>
      </c>
      <c r="R557" s="359">
        <f t="shared" ca="1" si="252"/>
        <v>0</v>
      </c>
      <c r="S557" s="360">
        <f t="shared" ca="1" si="253"/>
        <v>8.6519999999999992</v>
      </c>
      <c r="T557" s="357">
        <f t="shared" ca="1" si="233"/>
        <v>84.87612</v>
      </c>
      <c r="U557" s="364">
        <f t="shared" ca="1" si="234"/>
        <v>0</v>
      </c>
      <c r="V557" s="359">
        <f t="shared" ca="1" si="235"/>
        <v>1.0652426513870854</v>
      </c>
      <c r="W557" s="357">
        <f t="shared" ca="1" si="236"/>
        <v>2.9885922333324446</v>
      </c>
      <c r="X557" s="343"/>
      <c r="Y557" s="367" t="str">
        <f t="shared" ca="1" si="254"/>
        <v/>
      </c>
      <c r="Z557" s="368" t="str">
        <f t="shared" ca="1" si="255"/>
        <v/>
      </c>
      <c r="AA557" s="369" t="str">
        <f t="shared" ca="1" si="256"/>
        <v/>
      </c>
      <c r="AB557" s="344"/>
      <c r="AC557" s="363" t="e">
        <f t="shared" ca="1" si="257"/>
        <v>#N/A</v>
      </c>
      <c r="AD557" s="376" t="e">
        <f t="shared" ca="1" si="258"/>
        <v>#N/A</v>
      </c>
      <c r="AE557" s="377" t="e">
        <f t="shared" ca="1" si="237"/>
        <v>#N/A</v>
      </c>
      <c r="AF557" s="344"/>
      <c r="AG557" s="359">
        <f t="shared" ca="1" si="259"/>
        <v>4.9933029030209077</v>
      </c>
      <c r="AH557" s="357">
        <f t="shared" ca="1" si="260"/>
        <v>-0.33544181426940251</v>
      </c>
    </row>
    <row r="558" spans="1:34" x14ac:dyDescent="0.25">
      <c r="A558" s="402">
        <f t="shared" ca="1" si="238"/>
        <v>0.1</v>
      </c>
      <c r="B558" s="357">
        <f t="shared" ca="1" si="239"/>
        <v>19.399999999999963</v>
      </c>
      <c r="C558" s="342"/>
      <c r="D558" s="359">
        <f t="shared" ca="1" si="240"/>
        <v>-0.28554959973888983</v>
      </c>
      <c r="E558" s="360">
        <f t="shared" ca="1" si="241"/>
        <v>-9.6156346966305986</v>
      </c>
      <c r="F558" s="357">
        <f t="shared" ca="1" si="242"/>
        <v>9.61987365784797</v>
      </c>
      <c r="G558" s="359">
        <f t="shared" ca="1" si="243"/>
        <v>29.075309045936912</v>
      </c>
      <c r="H558" s="360">
        <f t="shared" ca="1" si="244"/>
        <v>-20.771716808709318</v>
      </c>
      <c r="I558" s="357">
        <f t="shared" ca="1" si="245"/>
        <v>35.732867437388201</v>
      </c>
      <c r="J558" s="359">
        <f t="shared" ca="1" si="246"/>
        <v>609.40955906945146</v>
      </c>
      <c r="K558" s="360">
        <f t="shared" ca="1" si="247"/>
        <v>1393.0837650899975</v>
      </c>
      <c r="L558" s="357">
        <f t="shared" ca="1" si="232"/>
        <v>1520.5467395784144</v>
      </c>
      <c r="M558" s="359">
        <f t="shared" ca="1" si="248"/>
        <v>-0.62033235394739272</v>
      </c>
      <c r="N558" s="357">
        <f t="shared" ca="1" si="249"/>
        <v>-35.542425776601156</v>
      </c>
      <c r="O558" s="343"/>
      <c r="P558" s="363">
        <f t="shared" ca="1" si="250"/>
        <v>23</v>
      </c>
      <c r="Q558" s="357">
        <f t="shared" ca="1" si="251"/>
        <v>0</v>
      </c>
      <c r="R558" s="359">
        <f t="shared" ca="1" si="252"/>
        <v>0</v>
      </c>
      <c r="S558" s="360">
        <f t="shared" ca="1" si="253"/>
        <v>8.6519999999999992</v>
      </c>
      <c r="T558" s="357">
        <f t="shared" ca="1" si="233"/>
        <v>84.87612</v>
      </c>
      <c r="U558" s="364">
        <f t="shared" ca="1" si="234"/>
        <v>0</v>
      </c>
      <c r="V558" s="359">
        <f t="shared" ca="1" si="235"/>
        <v>1.0654598765681438</v>
      </c>
      <c r="W558" s="357">
        <f t="shared" ca="1" si="236"/>
        <v>3.0793032037910391</v>
      </c>
      <c r="X558" s="343"/>
      <c r="Y558" s="367" t="str">
        <f t="shared" ca="1" si="254"/>
        <v/>
      </c>
      <c r="Z558" s="368" t="str">
        <f t="shared" ca="1" si="255"/>
        <v/>
      </c>
      <c r="AA558" s="369" t="str">
        <f t="shared" ca="1" si="256"/>
        <v/>
      </c>
      <c r="AB558" s="344"/>
      <c r="AC558" s="363" t="e">
        <f t="shared" ca="1" si="257"/>
        <v>#N/A</v>
      </c>
      <c r="AD558" s="376" t="e">
        <f t="shared" ca="1" si="258"/>
        <v>#N/A</v>
      </c>
      <c r="AE558" s="377" t="e">
        <f t="shared" ca="1" si="237"/>
        <v>#N/A</v>
      </c>
      <c r="AF558" s="344"/>
      <c r="AG558" s="359">
        <f t="shared" ca="1" si="259"/>
        <v>5.1745590306484219</v>
      </c>
      <c r="AH558" s="357">
        <f t="shared" ca="1" si="260"/>
        <v>-0.34542212590527566</v>
      </c>
    </row>
    <row r="559" spans="1:34" x14ac:dyDescent="0.25">
      <c r="A559" s="402">
        <f t="shared" ca="1" si="238"/>
        <v>0.1</v>
      </c>
      <c r="B559" s="357">
        <f t="shared" ca="1" si="239"/>
        <v>19.499999999999964</v>
      </c>
      <c r="C559" s="342"/>
      <c r="D559" s="359">
        <f t="shared" ca="1" si="240"/>
        <v>-0.28959590366588112</v>
      </c>
      <c r="E559" s="360">
        <f t="shared" ca="1" si="241"/>
        <v>-9.6031095387359073</v>
      </c>
      <c r="F559" s="357">
        <f t="shared" ca="1" si="242"/>
        <v>9.6074751418039384</v>
      </c>
      <c r="G559" s="359">
        <f t="shared" ca="1" si="243"/>
        <v>29.046349455570322</v>
      </c>
      <c r="H559" s="360">
        <f t="shared" ca="1" si="244"/>
        <v>-21.732027762582909</v>
      </c>
      <c r="I559" s="357">
        <f t="shared" ca="1" si="245"/>
        <v>36.276320752920689</v>
      </c>
      <c r="J559" s="359">
        <f t="shared" ca="1" si="246"/>
        <v>612.3156419945268</v>
      </c>
      <c r="K559" s="360">
        <f t="shared" ca="1" si="247"/>
        <v>1390.958577861433</v>
      </c>
      <c r="L559" s="357">
        <f t="shared" ca="1" si="232"/>
        <v>1519.7684727475662</v>
      </c>
      <c r="M559" s="359">
        <f t="shared" ca="1" si="248"/>
        <v>-0.64233816084515594</v>
      </c>
      <c r="N559" s="357">
        <f t="shared" ca="1" si="249"/>
        <v>-36.803265636622861</v>
      </c>
      <c r="O559" s="343"/>
      <c r="P559" s="363">
        <f t="shared" ca="1" si="250"/>
        <v>23</v>
      </c>
      <c r="Q559" s="357">
        <f t="shared" ca="1" si="251"/>
        <v>0</v>
      </c>
      <c r="R559" s="359">
        <f t="shared" ca="1" si="252"/>
        <v>0</v>
      </c>
      <c r="S559" s="360">
        <f t="shared" ca="1" si="253"/>
        <v>8.6519999999999992</v>
      </c>
      <c r="T559" s="357">
        <f t="shared" ca="1" si="233"/>
        <v>84.87612</v>
      </c>
      <c r="U559" s="364">
        <f t="shared" ca="1" si="234"/>
        <v>0</v>
      </c>
      <c r="V559" s="359">
        <f t="shared" ca="1" si="235"/>
        <v>1.0656874332743804</v>
      </c>
      <c r="W559" s="357">
        <f t="shared" ca="1" si="236"/>
        <v>3.1743581794850426</v>
      </c>
      <c r="X559" s="343"/>
      <c r="Y559" s="367" t="str">
        <f t="shared" ca="1" si="254"/>
        <v/>
      </c>
      <c r="Z559" s="368" t="str">
        <f t="shared" ca="1" si="255"/>
        <v/>
      </c>
      <c r="AA559" s="369" t="str">
        <f t="shared" ca="1" si="256"/>
        <v/>
      </c>
      <c r="AB559" s="344"/>
      <c r="AC559" s="363" t="e">
        <f t="shared" ca="1" si="257"/>
        <v>#N/A</v>
      </c>
      <c r="AD559" s="376" t="e">
        <f t="shared" ca="1" si="258"/>
        <v>#N/A</v>
      </c>
      <c r="AE559" s="377" t="e">
        <f t="shared" ca="1" si="237"/>
        <v>#N/A</v>
      </c>
      <c r="AF559" s="344"/>
      <c r="AG559" s="359">
        <f t="shared" ca="1" si="259"/>
        <v>5.3467016538451944</v>
      </c>
      <c r="AH559" s="357">
        <f t="shared" ca="1" si="260"/>
        <v>-0.35590651916216359</v>
      </c>
    </row>
    <row r="560" spans="1:34" x14ac:dyDescent="0.25">
      <c r="A560" s="402">
        <f t="shared" ca="1" si="238"/>
        <v>0.1</v>
      </c>
      <c r="B560" s="357">
        <f t="shared" ca="1" si="239"/>
        <v>19.599999999999966</v>
      </c>
      <c r="C560" s="342"/>
      <c r="D560" s="359">
        <f t="shared" ca="1" si="240"/>
        <v>-0.29377020270760185</v>
      </c>
      <c r="E560" s="360">
        <f t="shared" ca="1" si="241"/>
        <v>-9.5902056946664995</v>
      </c>
      <c r="F560" s="357">
        <f t="shared" ca="1" si="242"/>
        <v>9.5947040703719786</v>
      </c>
      <c r="G560" s="359">
        <f t="shared" ca="1" si="243"/>
        <v>29.016972435299561</v>
      </c>
      <c r="H560" s="360">
        <f t="shared" ca="1" si="244"/>
        <v>-22.691048332049558</v>
      </c>
      <c r="I560" s="357">
        <f t="shared" ca="1" si="245"/>
        <v>36.835694152796194</v>
      </c>
      <c r="J560" s="359">
        <f t="shared" ca="1" si="246"/>
        <v>615.21880808907031</v>
      </c>
      <c r="K560" s="360">
        <f t="shared" ca="1" si="247"/>
        <v>1388.7374240567015</v>
      </c>
      <c r="L560" s="357">
        <f t="shared" ca="1" si="232"/>
        <v>1518.909416259633</v>
      </c>
      <c r="M560" s="359">
        <f t="shared" ca="1" si="248"/>
        <v>-0.66366376740142741</v>
      </c>
      <c r="N560" s="357">
        <f t="shared" ca="1" si="249"/>
        <v>-38.025132887853736</v>
      </c>
      <c r="O560" s="343"/>
      <c r="P560" s="363">
        <f t="shared" ca="1" si="250"/>
        <v>23</v>
      </c>
      <c r="Q560" s="357">
        <f t="shared" ca="1" si="251"/>
        <v>0</v>
      </c>
      <c r="R560" s="359">
        <f t="shared" ca="1" si="252"/>
        <v>0</v>
      </c>
      <c r="S560" s="360">
        <f t="shared" ca="1" si="253"/>
        <v>8.6519999999999992</v>
      </c>
      <c r="T560" s="357">
        <f t="shared" ca="1" si="233"/>
        <v>84.87612</v>
      </c>
      <c r="U560" s="364">
        <f t="shared" ca="1" si="234"/>
        <v>0</v>
      </c>
      <c r="V560" s="359">
        <f t="shared" ca="1" si="235"/>
        <v>1.0659253140340998</v>
      </c>
      <c r="W560" s="357">
        <f t="shared" ca="1" si="236"/>
        <v>3.273739441330064</v>
      </c>
      <c r="X560" s="343"/>
      <c r="Y560" s="367" t="str">
        <f t="shared" ca="1" si="254"/>
        <v/>
      </c>
      <c r="Z560" s="368" t="str">
        <f t="shared" ca="1" si="255"/>
        <v/>
      </c>
      <c r="AA560" s="369" t="str">
        <f t="shared" ca="1" si="256"/>
        <v/>
      </c>
      <c r="AB560" s="344"/>
      <c r="AC560" s="363" t="e">
        <f t="shared" ca="1" si="257"/>
        <v>#N/A</v>
      </c>
      <c r="AD560" s="376" t="e">
        <f t="shared" ca="1" si="258"/>
        <v>#N/A</v>
      </c>
      <c r="AE560" s="377" t="e">
        <f t="shared" ca="1" si="237"/>
        <v>#N/A</v>
      </c>
      <c r="AF560" s="344"/>
      <c r="AG560" s="359">
        <f t="shared" ca="1" si="259"/>
        <v>5.5099762128385459</v>
      </c>
      <c r="AH560" s="357">
        <f t="shared" ca="1" si="260"/>
        <v>-0.36689299346798926</v>
      </c>
    </row>
    <row r="561" spans="1:34" x14ac:dyDescent="0.25">
      <c r="A561" s="402">
        <f t="shared" ca="1" si="238"/>
        <v>0.1</v>
      </c>
      <c r="B561" s="357">
        <f t="shared" ca="1" si="239"/>
        <v>19.699999999999967</v>
      </c>
      <c r="C561" s="342"/>
      <c r="D561" s="359">
        <f t="shared" ca="1" si="240"/>
        <v>-0.29806490141390379</v>
      </c>
      <c r="E561" s="360">
        <f t="shared" ca="1" si="241"/>
        <v>-9.5769155491962117</v>
      </c>
      <c r="F561" s="357">
        <f t="shared" ca="1" si="242"/>
        <v>9.5815528032720803</v>
      </c>
      <c r="G561" s="359">
        <f t="shared" ca="1" si="243"/>
        <v>28.987165945158171</v>
      </c>
      <c r="H561" s="360">
        <f t="shared" ca="1" si="244"/>
        <v>-23.648739886969178</v>
      </c>
      <c r="I561" s="357">
        <f t="shared" ca="1" si="245"/>
        <v>37.410141509671739</v>
      </c>
      <c r="J561" s="359">
        <f t="shared" ca="1" si="246"/>
        <v>618.11901500809324</v>
      </c>
      <c r="K561" s="360">
        <f t="shared" ca="1" si="247"/>
        <v>1386.4204346457504</v>
      </c>
      <c r="L561" s="357">
        <f t="shared" ca="1" si="232"/>
        <v>1517.9699398597743</v>
      </c>
      <c r="M561" s="359">
        <f t="shared" ca="1" si="248"/>
        <v>-0.68432202962683009</v>
      </c>
      <c r="N561" s="357">
        <f t="shared" ca="1" si="249"/>
        <v>-39.208764125443842</v>
      </c>
      <c r="O561" s="343"/>
      <c r="P561" s="363">
        <f t="shared" ca="1" si="250"/>
        <v>23</v>
      </c>
      <c r="Q561" s="357">
        <f t="shared" ca="1" si="251"/>
        <v>0</v>
      </c>
      <c r="R561" s="359">
        <f t="shared" ca="1" si="252"/>
        <v>0</v>
      </c>
      <c r="S561" s="360">
        <f t="shared" ca="1" si="253"/>
        <v>8.6519999999999992</v>
      </c>
      <c r="T561" s="357">
        <f t="shared" ca="1" si="233"/>
        <v>84.87612</v>
      </c>
      <c r="U561" s="364">
        <f t="shared" ca="1" si="234"/>
        <v>0</v>
      </c>
      <c r="V561" s="359">
        <f t="shared" ca="1" si="235"/>
        <v>1.0661735112352215</v>
      </c>
      <c r="W561" s="357">
        <f t="shared" ca="1" si="236"/>
        <v>3.3774288456590429</v>
      </c>
      <c r="X561" s="343"/>
      <c r="Y561" s="367" t="str">
        <f t="shared" ca="1" si="254"/>
        <v/>
      </c>
      <c r="Z561" s="368" t="str">
        <f t="shared" ca="1" si="255"/>
        <v/>
      </c>
      <c r="AA561" s="369" t="str">
        <f t="shared" ca="1" si="256"/>
        <v/>
      </c>
      <c r="AB561" s="344"/>
      <c r="AC561" s="363" t="e">
        <f t="shared" ca="1" si="257"/>
        <v>#N/A</v>
      </c>
      <c r="AD561" s="376" t="e">
        <f t="shared" ca="1" si="258"/>
        <v>#N/A</v>
      </c>
      <c r="AE561" s="377" t="e">
        <f t="shared" ca="1" si="237"/>
        <v>#N/A</v>
      </c>
      <c r="AF561" s="344"/>
      <c r="AG561" s="359">
        <f t="shared" ca="1" si="259"/>
        <v>5.6646499372313635</v>
      </c>
      <c r="AH561" s="357">
        <f t="shared" ca="1" si="260"/>
        <v>-0.37837950084721039</v>
      </c>
    </row>
    <row r="562" spans="1:34" x14ac:dyDescent="0.25">
      <c r="A562" s="402">
        <f t="shared" ca="1" si="238"/>
        <v>0.1</v>
      </c>
      <c r="B562" s="357">
        <f t="shared" ca="1" si="239"/>
        <v>19.799999999999969</v>
      </c>
      <c r="C562" s="342"/>
      <c r="D562" s="359">
        <f t="shared" ca="1" si="240"/>
        <v>-0.30247264443206484</v>
      </c>
      <c r="E562" s="360">
        <f t="shared" ca="1" si="241"/>
        <v>-9.5632322785666322</v>
      </c>
      <c r="F562" s="357">
        <f t="shared" ca="1" si="242"/>
        <v>9.5680144917557719</v>
      </c>
      <c r="G562" s="359">
        <f t="shared" ca="1" si="243"/>
        <v>28.956918680714963</v>
      </c>
      <c r="H562" s="360">
        <f t="shared" ca="1" si="244"/>
        <v>-24.605063114825843</v>
      </c>
      <c r="I562" s="357">
        <f t="shared" ca="1" si="245"/>
        <v>37.99884564517852</v>
      </c>
      <c r="J562" s="359">
        <f t="shared" ca="1" si="246"/>
        <v>621.01621923938694</v>
      </c>
      <c r="K562" s="360">
        <f t="shared" ca="1" si="247"/>
        <v>1384.0077444956607</v>
      </c>
      <c r="L562" s="357">
        <f t="shared" ca="1" si="232"/>
        <v>1516.9504215307595</v>
      </c>
      <c r="M562" s="359">
        <f t="shared" ca="1" si="248"/>
        <v>-0.70432727940486217</v>
      </c>
      <c r="N562" s="357">
        <f t="shared" ca="1" si="249"/>
        <v>-40.354980505830113</v>
      </c>
      <c r="O562" s="343"/>
      <c r="P562" s="363">
        <f t="shared" ca="1" si="250"/>
        <v>23</v>
      </c>
      <c r="Q562" s="357">
        <f t="shared" ca="1" si="251"/>
        <v>0</v>
      </c>
      <c r="R562" s="359">
        <f t="shared" ca="1" si="252"/>
        <v>0</v>
      </c>
      <c r="S562" s="360">
        <f t="shared" ca="1" si="253"/>
        <v>8.6519999999999992</v>
      </c>
      <c r="T562" s="357">
        <f t="shared" ca="1" si="233"/>
        <v>84.87612</v>
      </c>
      <c r="U562" s="364">
        <f t="shared" ca="1" si="234"/>
        <v>0</v>
      </c>
      <c r="V562" s="359">
        <f t="shared" ca="1" si="235"/>
        <v>1.0664320171162871</v>
      </c>
      <c r="W562" s="357">
        <f t="shared" ca="1" si="236"/>
        <v>3.4854078113612785</v>
      </c>
      <c r="X562" s="343"/>
      <c r="Y562" s="367" t="str">
        <f t="shared" ca="1" si="254"/>
        <v/>
      </c>
      <c r="Z562" s="368" t="str">
        <f t="shared" ca="1" si="255"/>
        <v/>
      </c>
      <c r="AA562" s="369" t="str">
        <f t="shared" ca="1" si="256"/>
        <v/>
      </c>
      <c r="AB562" s="344"/>
      <c r="AC562" s="363" t="e">
        <f t="shared" ca="1" si="257"/>
        <v>#N/A</v>
      </c>
      <c r="AD562" s="376" t="e">
        <f t="shared" ca="1" si="258"/>
        <v>#N/A</v>
      </c>
      <c r="AE562" s="377" t="e">
        <f t="shared" ca="1" si="237"/>
        <v>#N/A</v>
      </c>
      <c r="AF562" s="344"/>
      <c r="AG562" s="359">
        <f t="shared" ca="1" si="259"/>
        <v>5.8110062973235275</v>
      </c>
      <c r="AH562" s="357">
        <f t="shared" ca="1" si="260"/>
        <v>-0.39036394425092963</v>
      </c>
    </row>
    <row r="563" spans="1:34" x14ac:dyDescent="0.25">
      <c r="A563" s="402">
        <f t="shared" ca="1" si="238"/>
        <v>0.1</v>
      </c>
      <c r="B563" s="357">
        <f t="shared" ca="1" si="239"/>
        <v>19.89999999999997</v>
      </c>
      <c r="C563" s="342"/>
      <c r="D563" s="359">
        <f t="shared" ca="1" si="240"/>
        <v>-0.30698632680571752</v>
      </c>
      <c r="E563" s="360">
        <f t="shared" ca="1" si="241"/>
        <v>-9.5491498028595938</v>
      </c>
      <c r="F563" s="357">
        <f t="shared" ca="1" si="242"/>
        <v>9.5540830309506468</v>
      </c>
      <c r="G563" s="359">
        <f t="shared" ca="1" si="243"/>
        <v>28.926220048034391</v>
      </c>
      <c r="H563" s="360">
        <f t="shared" ca="1" si="244"/>
        <v>-25.559978095111802</v>
      </c>
      <c r="I563" s="357">
        <f t="shared" ca="1" si="245"/>
        <v>38.601019241593889</v>
      </c>
      <c r="J563" s="359">
        <f t="shared" ca="1" si="246"/>
        <v>623.91037617582435</v>
      </c>
      <c r="K563" s="360">
        <f t="shared" ca="1" si="247"/>
        <v>1381.4994924351638</v>
      </c>
      <c r="L563" s="357">
        <f t="shared" ca="1" si="232"/>
        <v>1515.8512476818014</v>
      </c>
      <c r="M563" s="359">
        <f t="shared" ca="1" si="248"/>
        <v>-0.72369503651047729</v>
      </c>
      <c r="N563" s="357">
        <f t="shared" ca="1" si="249"/>
        <v>-41.464671246616369</v>
      </c>
      <c r="O563" s="343"/>
      <c r="P563" s="363">
        <f t="shared" ca="1" si="250"/>
        <v>23</v>
      </c>
      <c r="Q563" s="357">
        <f t="shared" ca="1" si="251"/>
        <v>0</v>
      </c>
      <c r="R563" s="359">
        <f t="shared" ca="1" si="252"/>
        <v>0</v>
      </c>
      <c r="S563" s="360">
        <f t="shared" ca="1" si="253"/>
        <v>8.6519999999999992</v>
      </c>
      <c r="T563" s="357">
        <f t="shared" ca="1" si="233"/>
        <v>84.87612</v>
      </c>
      <c r="U563" s="364">
        <f t="shared" ca="1" si="234"/>
        <v>0</v>
      </c>
      <c r="V563" s="359">
        <f t="shared" ca="1" si="235"/>
        <v>1.0667008237582376</v>
      </c>
      <c r="W563" s="357">
        <f t="shared" ca="1" si="236"/>
        <v>3.5976573085143406</v>
      </c>
      <c r="X563" s="343"/>
      <c r="Y563" s="367" t="str">
        <f t="shared" ca="1" si="254"/>
        <v/>
      </c>
      <c r="Z563" s="368" t="str">
        <f t="shared" ca="1" si="255"/>
        <v/>
      </c>
      <c r="AA563" s="369" t="str">
        <f t="shared" ca="1" si="256"/>
        <v/>
      </c>
      <c r="AB563" s="344"/>
      <c r="AC563" s="363" t="e">
        <f t="shared" ca="1" si="257"/>
        <v>#N/A</v>
      </c>
      <c r="AD563" s="376" t="e">
        <f t="shared" ca="1" si="258"/>
        <v>#N/A</v>
      </c>
      <c r="AE563" s="377" t="e">
        <f t="shared" ca="1" si="237"/>
        <v>#N/A</v>
      </c>
      <c r="AF563" s="344"/>
      <c r="AG563" s="359">
        <f t="shared" ca="1" si="259"/>
        <v>5.9493400826392513</v>
      </c>
      <c r="AH563" s="357">
        <f t="shared" ca="1" si="260"/>
        <v>-0.40284417607042056</v>
      </c>
    </row>
    <row r="564" spans="1:34" x14ac:dyDescent="0.25">
      <c r="A564" s="402">
        <f t="shared" ca="1" si="238"/>
        <v>0.1</v>
      </c>
      <c r="B564" s="357">
        <f t="shared" ca="1" si="239"/>
        <v>19.999999999999972</v>
      </c>
      <c r="C564" s="342"/>
      <c r="D564" s="359">
        <f t="shared" ca="1" si="240"/>
        <v>-0.31159910055121492</v>
      </c>
      <c r="E564" s="360">
        <f t="shared" ca="1" si="241"/>
        <v>-9.5346627395034709</v>
      </c>
      <c r="F564" s="357">
        <f t="shared" ca="1" si="242"/>
        <v>9.5397530133405528</v>
      </c>
      <c r="G564" s="359">
        <f t="shared" ca="1" si="243"/>
        <v>28.895060137979272</v>
      </c>
      <c r="H564" s="360">
        <f t="shared" ca="1" si="244"/>
        <v>-26.51344436906215</v>
      </c>
      <c r="I564" s="357">
        <f t="shared" ca="1" si="245"/>
        <v>39.215905353425057</v>
      </c>
      <c r="J564" s="359">
        <f t="shared" ca="1" si="246"/>
        <v>626.80144018512499</v>
      </c>
      <c r="K564" s="360">
        <f t="shared" ca="1" si="247"/>
        <v>1378.8958213119552</v>
      </c>
      <c r="L564" s="357">
        <f t="shared" ca="1" si="232"/>
        <v>1514.6728133328722</v>
      </c>
      <c r="M564" s="359">
        <f t="shared" ca="1" si="248"/>
        <v>-0.74244174876644697</v>
      </c>
      <c r="N564" s="357">
        <f t="shared" ca="1" si="249"/>
        <v>-42.538778738629603</v>
      </c>
      <c r="O564" s="343"/>
      <c r="P564" s="363">
        <f t="shared" ca="1" si="250"/>
        <v>23</v>
      </c>
      <c r="Q564" s="357">
        <f t="shared" ca="1" si="251"/>
        <v>0</v>
      </c>
      <c r="R564" s="359">
        <f t="shared" ca="1" si="252"/>
        <v>0</v>
      </c>
      <c r="S564" s="360">
        <f t="shared" ca="1" si="253"/>
        <v>8.6519999999999992</v>
      </c>
      <c r="T564" s="357">
        <f t="shared" ca="1" si="233"/>
        <v>84.87612</v>
      </c>
      <c r="U564" s="364">
        <f t="shared" ca="1" si="234"/>
        <v>0</v>
      </c>
      <c r="V564" s="359">
        <f t="shared" ca="1" si="235"/>
        <v>1.0669799230769172</v>
      </c>
      <c r="W564" s="357">
        <f t="shared" ca="1" si="236"/>
        <v>3.7141578484170643</v>
      </c>
      <c r="X564" s="343"/>
      <c r="Y564" s="367" t="str">
        <f t="shared" ca="1" si="254"/>
        <v/>
      </c>
      <c r="Z564" s="368" t="str">
        <f t="shared" ca="1" si="255"/>
        <v/>
      </c>
      <c r="AA564" s="369" t="str">
        <f t="shared" ca="1" si="256"/>
        <v/>
      </c>
      <c r="AB564" s="344"/>
      <c r="AC564" s="363">
        <f t="shared" ca="1" si="257"/>
        <v>19.999999999999972</v>
      </c>
      <c r="AD564" s="376">
        <f t="shared" ca="1" si="258"/>
        <v>626.80144018512499</v>
      </c>
      <c r="AE564" s="377" t="e">
        <f t="shared" ca="1" si="237"/>
        <v>#N/A</v>
      </c>
      <c r="AF564" s="344"/>
      <c r="AG564" s="359">
        <f t="shared" ca="1" si="259"/>
        <v>6.0799531004037446</v>
      </c>
      <c r="AH564" s="357">
        <f t="shared" ca="1" si="260"/>
        <v>-0.4158179968232017</v>
      </c>
    </row>
    <row r="565" spans="1:34" x14ac:dyDescent="0.25">
      <c r="A565" s="402">
        <f t="shared" ca="1" si="238"/>
        <v>0.1</v>
      </c>
      <c r="B565" s="357">
        <f t="shared" ca="1" si="239"/>
        <v>20.099999999999973</v>
      </c>
      <c r="C565" s="342"/>
      <c r="D565" s="359">
        <f t="shared" ca="1" si="240"/>
        <v>-0.31630437801427247</v>
      </c>
      <c r="E565" s="360">
        <f t="shared" ca="1" si="241"/>
        <v>-9.5197663583281713</v>
      </c>
      <c r="F565" s="357">
        <f t="shared" ca="1" si="242"/>
        <v>9.5250196837963443</v>
      </c>
      <c r="G565" s="359">
        <f t="shared" ca="1" si="243"/>
        <v>28.863429700177843</v>
      </c>
      <c r="H565" s="360">
        <f t="shared" ca="1" si="244"/>
        <v>-27.465421004894967</v>
      </c>
      <c r="I565" s="357">
        <f t="shared" ca="1" si="245"/>
        <v>39.842777576785906</v>
      </c>
      <c r="J565" s="359">
        <f t="shared" ca="1" si="246"/>
        <v>629.68936467703281</v>
      </c>
      <c r="K565" s="360">
        <f t="shared" ca="1" si="247"/>
        <v>1376.1968780432574</v>
      </c>
      <c r="L565" s="357">
        <f t="shared" ca="1" si="232"/>
        <v>1513.4155222949755</v>
      </c>
      <c r="M565" s="359">
        <f t="shared" ca="1" si="248"/>
        <v>-0.76058456004719432</v>
      </c>
      <c r="N565" s="357">
        <f t="shared" ca="1" si="249"/>
        <v>-43.578285253518771</v>
      </c>
      <c r="O565" s="343"/>
      <c r="P565" s="363">
        <f t="shared" ca="1" si="250"/>
        <v>23</v>
      </c>
      <c r="Q565" s="357">
        <f t="shared" ca="1" si="251"/>
        <v>0</v>
      </c>
      <c r="R565" s="359">
        <f t="shared" ca="1" si="252"/>
        <v>0</v>
      </c>
      <c r="S565" s="360">
        <f t="shared" ca="1" si="253"/>
        <v>8.6519999999999992</v>
      </c>
      <c r="T565" s="357">
        <f t="shared" ca="1" si="233"/>
        <v>84.87612</v>
      </c>
      <c r="U565" s="364">
        <f t="shared" ca="1" si="234"/>
        <v>0</v>
      </c>
      <c r="V565" s="359">
        <f t="shared" ca="1" si="235"/>
        <v>1.0672693068162544</v>
      </c>
      <c r="W565" s="357">
        <f t="shared" ca="1" si="236"/>
        <v>3.8348894749345979</v>
      </c>
      <c r="X565" s="343"/>
      <c r="Y565" s="367" t="str">
        <f t="shared" ca="1" si="254"/>
        <v/>
      </c>
      <c r="Z565" s="368" t="str">
        <f t="shared" ca="1" si="255"/>
        <v/>
      </c>
      <c r="AA565" s="369" t="str">
        <f t="shared" ca="1" si="256"/>
        <v/>
      </c>
      <c r="AB565" s="344"/>
      <c r="AC565" s="363" t="e">
        <f t="shared" ca="1" si="257"/>
        <v>#N/A</v>
      </c>
      <c r="AD565" s="376" t="e">
        <f t="shared" ca="1" si="258"/>
        <v>#N/A</v>
      </c>
      <c r="AE565" s="377" t="e">
        <f t="shared" ca="1" si="237"/>
        <v>#N/A</v>
      </c>
      <c r="AF565" s="344"/>
      <c r="AG565" s="359">
        <f t="shared" ca="1" si="259"/>
        <v>6.203150469969418</v>
      </c>
      <c r="AH565" s="357">
        <f t="shared" ca="1" si="260"/>
        <v>-0.42928315400104772</v>
      </c>
    </row>
    <row r="566" spans="1:34" x14ac:dyDescent="0.25">
      <c r="A566" s="402">
        <f t="shared" ca="1" si="238"/>
        <v>0.1</v>
      </c>
      <c r="B566" s="357">
        <f t="shared" ca="1" si="239"/>
        <v>20.199999999999974</v>
      </c>
      <c r="C566" s="342"/>
      <c r="D566" s="359">
        <f t="shared" ca="1" si="240"/>
        <v>-0.32109583248311213</v>
      </c>
      <c r="E566" s="360">
        <f t="shared" ca="1" si="241"/>
        <v>-9.5044565384753437</v>
      </c>
      <c r="F566" s="357">
        <f t="shared" ca="1" si="242"/>
        <v>9.5098788964636523</v>
      </c>
      <c r="G566" s="359">
        <f t="shared" ca="1" si="243"/>
        <v>28.831320116929533</v>
      </c>
      <c r="H566" s="360">
        <f t="shared" ca="1" si="244"/>
        <v>-28.415866658742502</v>
      </c>
      <c r="I566" s="357">
        <f t="shared" ca="1" si="245"/>
        <v>40.480939930445032</v>
      </c>
      <c r="J566" s="359">
        <f t="shared" ca="1" si="246"/>
        <v>632.57410216788821</v>
      </c>
      <c r="K566" s="360">
        <f t="shared" ca="1" si="247"/>
        <v>1373.4028136600755</v>
      </c>
      <c r="L566" s="357">
        <f t="shared" ca="1" si="232"/>
        <v>1512.0797873468589</v>
      </c>
      <c r="M566" s="359">
        <f t="shared" ca="1" si="248"/>
        <v>-0.7781411052206213</v>
      </c>
      <c r="N566" s="357">
        <f t="shared" ca="1" si="249"/>
        <v>-44.584201194786907</v>
      </c>
      <c r="O566" s="343"/>
      <c r="P566" s="363">
        <f t="shared" ca="1" si="250"/>
        <v>23</v>
      </c>
      <c r="Q566" s="357">
        <f t="shared" ca="1" si="251"/>
        <v>0</v>
      </c>
      <c r="R566" s="359">
        <f t="shared" ca="1" si="252"/>
        <v>0</v>
      </c>
      <c r="S566" s="360">
        <f t="shared" ca="1" si="253"/>
        <v>8.6519999999999992</v>
      </c>
      <c r="T566" s="357">
        <f t="shared" ca="1" si="233"/>
        <v>84.87612</v>
      </c>
      <c r="U566" s="364">
        <f t="shared" ca="1" si="234"/>
        <v>0</v>
      </c>
      <c r="V566" s="359">
        <f t="shared" ca="1" si="235"/>
        <v>1.0675689665420678</v>
      </c>
      <c r="W566" s="357">
        <f t="shared" ca="1" si="236"/>
        <v>3.9598317570700856</v>
      </c>
      <c r="X566" s="343"/>
      <c r="Y566" s="367" t="str">
        <f t="shared" ca="1" si="254"/>
        <v/>
      </c>
      <c r="Z566" s="368" t="str">
        <f t="shared" ca="1" si="255"/>
        <v/>
      </c>
      <c r="AA566" s="369" t="str">
        <f t="shared" ca="1" si="256"/>
        <v/>
      </c>
      <c r="AB566" s="344"/>
      <c r="AC566" s="363" t="e">
        <f t="shared" ca="1" si="257"/>
        <v>#N/A</v>
      </c>
      <c r="AD566" s="376" t="e">
        <f t="shared" ca="1" si="258"/>
        <v>#N/A</v>
      </c>
      <c r="AE566" s="377" t="e">
        <f t="shared" ca="1" si="237"/>
        <v>#N/A</v>
      </c>
      <c r="AF566" s="344"/>
      <c r="AG566" s="359">
        <f t="shared" ca="1" si="259"/>
        <v>6.3192374773276594</v>
      </c>
      <c r="AH566" s="357">
        <f t="shared" ca="1" si="260"/>
        <v>-0.44323734106964841</v>
      </c>
    </row>
    <row r="567" spans="1:34" x14ac:dyDescent="0.25">
      <c r="A567" s="402">
        <f t="shared" ca="1" si="238"/>
        <v>0.1</v>
      </c>
      <c r="B567" s="357">
        <f t="shared" ca="1" si="239"/>
        <v>20.299999999999976</v>
      </c>
      <c r="C567" s="342"/>
      <c r="D567" s="359">
        <f t="shared" ca="1" si="240"/>
        <v>-0.32596739650007617</v>
      </c>
      <c r="E567" s="360">
        <f t="shared" ca="1" si="241"/>
        <v>-9.4887297273771161</v>
      </c>
      <c r="F567" s="357">
        <f t="shared" ca="1" si="242"/>
        <v>9.4943270737209815</v>
      </c>
      <c r="G567" s="359">
        <f t="shared" ca="1" si="243"/>
        <v>28.798723377279526</v>
      </c>
      <c r="H567" s="360">
        <f t="shared" ca="1" si="244"/>
        <v>-29.364739631480212</v>
      </c>
      <c r="I567" s="357">
        <f t="shared" ca="1" si="245"/>
        <v>41.129726497822602</v>
      </c>
      <c r="J567" s="359">
        <f t="shared" ca="1" si="246"/>
        <v>635.45560434259869</v>
      </c>
      <c r="K567" s="360">
        <f t="shared" ca="1" si="247"/>
        <v>1370.5137833455644</v>
      </c>
      <c r="L567" s="357">
        <f t="shared" ca="1" si="232"/>
        <v>1510.6660304086374</v>
      </c>
      <c r="M567" s="359">
        <f t="shared" ca="1" si="248"/>
        <v>-0.79512933066964597</v>
      </c>
      <c r="N567" s="357">
        <f t="shared" ca="1" si="249"/>
        <v>-45.557554814432763</v>
      </c>
      <c r="O567" s="343"/>
      <c r="P567" s="363">
        <f t="shared" ca="1" si="250"/>
        <v>23</v>
      </c>
      <c r="Q567" s="357">
        <f t="shared" ca="1" si="251"/>
        <v>0</v>
      </c>
      <c r="R567" s="359">
        <f t="shared" ca="1" si="252"/>
        <v>0</v>
      </c>
      <c r="S567" s="360">
        <f t="shared" ca="1" si="253"/>
        <v>8.6519999999999992</v>
      </c>
      <c r="T567" s="357">
        <f t="shared" ca="1" si="233"/>
        <v>84.87612</v>
      </c>
      <c r="U567" s="364">
        <f t="shared" ca="1" si="234"/>
        <v>0</v>
      </c>
      <c r="V567" s="359">
        <f t="shared" ca="1" si="235"/>
        <v>1.0678788936364558</v>
      </c>
      <c r="W567" s="357">
        <f t="shared" ca="1" si="236"/>
        <v>4.0889637826814749</v>
      </c>
      <c r="X567" s="343"/>
      <c r="Y567" s="367" t="str">
        <f t="shared" ca="1" si="254"/>
        <v/>
      </c>
      <c r="Z567" s="368" t="str">
        <f t="shared" ca="1" si="255"/>
        <v/>
      </c>
      <c r="AA567" s="369" t="str">
        <f t="shared" ca="1" si="256"/>
        <v/>
      </c>
      <c r="AB567" s="344"/>
      <c r="AC567" s="363" t="e">
        <f t="shared" ca="1" si="257"/>
        <v>#N/A</v>
      </c>
      <c r="AD567" s="376" t="e">
        <f t="shared" ca="1" si="258"/>
        <v>#N/A</v>
      </c>
      <c r="AE567" s="377" t="e">
        <f t="shared" ca="1" si="237"/>
        <v>#N/A</v>
      </c>
      <c r="AF567" s="344"/>
      <c r="AG567" s="359">
        <f t="shared" ca="1" si="259"/>
        <v>6.4285169461221425</v>
      </c>
      <c r="AH567" s="357">
        <f t="shared" ca="1" si="260"/>
        <v>-0.45767819661004228</v>
      </c>
    </row>
    <row r="568" spans="1:34" x14ac:dyDescent="0.25">
      <c r="A568" s="402">
        <f t="shared" ca="1" si="238"/>
        <v>0.1</v>
      </c>
      <c r="B568" s="357">
        <f t="shared" ca="1" si="239"/>
        <v>20.399999999999977</v>
      </c>
      <c r="C568" s="342"/>
      <c r="D568" s="359">
        <f t="shared" ca="1" si="240"/>
        <v>-0.33091325827480544</v>
      </c>
      <c r="E568" s="360">
        <f t="shared" ca="1" si="241"/>
        <v>-9.4725829019382619</v>
      </c>
      <c r="F568" s="357">
        <f t="shared" ca="1" si="242"/>
        <v>9.4783611673429675</v>
      </c>
      <c r="G568" s="359">
        <f t="shared" ca="1" si="243"/>
        <v>28.765632051452044</v>
      </c>
      <c r="H568" s="360">
        <f t="shared" ca="1" si="244"/>
        <v>-30.311997921674038</v>
      </c>
      <c r="I568" s="357">
        <f t="shared" ca="1" si="245"/>
        <v>41.788500874320633</v>
      </c>
      <c r="J568" s="359">
        <f t="shared" ca="1" si="246"/>
        <v>638.33382211403523</v>
      </c>
      <c r="K568" s="360">
        <f t="shared" ca="1" si="247"/>
        <v>1367.5299464679067</v>
      </c>
      <c r="L568" s="357">
        <f t="shared" ca="1" si="232"/>
        <v>1509.1746827127829</v>
      </c>
      <c r="M568" s="359">
        <f t="shared" ca="1" si="248"/>
        <v>-0.8115673387309692</v>
      </c>
      <c r="N568" s="357">
        <f t="shared" ca="1" si="249"/>
        <v>-46.499383299948605</v>
      </c>
      <c r="O568" s="343"/>
      <c r="P568" s="363">
        <f t="shared" ca="1" si="250"/>
        <v>23</v>
      </c>
      <c r="Q568" s="357">
        <f t="shared" ca="1" si="251"/>
        <v>0</v>
      </c>
      <c r="R568" s="359">
        <f t="shared" ca="1" si="252"/>
        <v>0</v>
      </c>
      <c r="S568" s="360">
        <f t="shared" ca="1" si="253"/>
        <v>8.6519999999999992</v>
      </c>
      <c r="T568" s="357">
        <f t="shared" ca="1" si="233"/>
        <v>84.87612</v>
      </c>
      <c r="U568" s="364">
        <f t="shared" ca="1" si="234"/>
        <v>0</v>
      </c>
      <c r="V568" s="359">
        <f t="shared" ca="1" si="235"/>
        <v>1.0681990792927281</v>
      </c>
      <c r="W568" s="357">
        <f t="shared" ca="1" si="236"/>
        <v>4.222264153266253</v>
      </c>
      <c r="X568" s="343"/>
      <c r="Y568" s="367" t="str">
        <f t="shared" ca="1" si="254"/>
        <v/>
      </c>
      <c r="Z568" s="368" t="str">
        <f t="shared" ca="1" si="255"/>
        <v/>
      </c>
      <c r="AA568" s="369" t="str">
        <f t="shared" ca="1" si="256"/>
        <v/>
      </c>
      <c r="AB568" s="344"/>
      <c r="AC568" s="363" t="e">
        <f t="shared" ca="1" si="257"/>
        <v>#N/A</v>
      </c>
      <c r="AD568" s="376" t="e">
        <f t="shared" ca="1" si="258"/>
        <v>#N/A</v>
      </c>
      <c r="AE568" s="377" t="e">
        <f t="shared" ca="1" si="237"/>
        <v>#N/A</v>
      </c>
      <c r="AF568" s="344"/>
      <c r="AG568" s="359">
        <f t="shared" ca="1" si="259"/>
        <v>6.5312870772510285</v>
      </c>
      <c r="AH568" s="357">
        <f t="shared" ca="1" si="260"/>
        <v>-0.47260330359240349</v>
      </c>
    </row>
    <row r="569" spans="1:34" x14ac:dyDescent="0.25">
      <c r="A569" s="402">
        <f t="shared" ca="1" si="238"/>
        <v>0.1</v>
      </c>
      <c r="B569" s="357">
        <f t="shared" ca="1" si="239"/>
        <v>20.499999999999979</v>
      </c>
      <c r="C569" s="342"/>
      <c r="D569" s="359">
        <f t="shared" ca="1" si="240"/>
        <v>-0.33592785656107826</v>
      </c>
      <c r="E569" s="360">
        <f t="shared" ca="1" si="241"/>
        <v>-9.4560135319919798</v>
      </c>
      <c r="F569" s="357">
        <f t="shared" ca="1" si="242"/>
        <v>9.4619786219389201</v>
      </c>
      <c r="G569" s="359">
        <f t="shared" ca="1" si="243"/>
        <v>28.732039265795937</v>
      </c>
      <c r="H569" s="360">
        <f t="shared" ca="1" si="244"/>
        <v>-31.257599274873236</v>
      </c>
      <c r="I569" s="357">
        <f t="shared" ca="1" si="245"/>
        <v>42.456655459418791</v>
      </c>
      <c r="J569" s="359">
        <f t="shared" ca="1" si="246"/>
        <v>641.20870567989766</v>
      </c>
      <c r="K569" s="360">
        <f t="shared" ca="1" si="247"/>
        <v>1364.4514666080793</v>
      </c>
      <c r="L569" s="357">
        <f t="shared" ca="1" si="232"/>
        <v>1507.6061849729288</v>
      </c>
      <c r="M569" s="359">
        <f t="shared" ca="1" si="248"/>
        <v>-0.82747325420358941</v>
      </c>
      <c r="N569" s="357">
        <f t="shared" ca="1" si="249"/>
        <v>-47.410725125821578</v>
      </c>
      <c r="O569" s="343"/>
      <c r="P569" s="363">
        <f t="shared" ca="1" si="250"/>
        <v>23</v>
      </c>
      <c r="Q569" s="357">
        <f t="shared" ca="1" si="251"/>
        <v>0</v>
      </c>
      <c r="R569" s="359">
        <f t="shared" ca="1" si="252"/>
        <v>0</v>
      </c>
      <c r="S569" s="360">
        <f t="shared" ca="1" si="253"/>
        <v>8.6519999999999992</v>
      </c>
      <c r="T569" s="357">
        <f t="shared" ca="1" si="233"/>
        <v>84.87612</v>
      </c>
      <c r="U569" s="364">
        <f t="shared" ca="1" si="234"/>
        <v>0</v>
      </c>
      <c r="V569" s="359">
        <f t="shared" ca="1" si="235"/>
        <v>1.0685295145108387</v>
      </c>
      <c r="W569" s="357">
        <f t="shared" ca="1" si="236"/>
        <v>4.3597109797412363</v>
      </c>
      <c r="X569" s="343"/>
      <c r="Y569" s="367" t="str">
        <f t="shared" ca="1" si="254"/>
        <v/>
      </c>
      <c r="Z569" s="368" t="str">
        <f t="shared" ca="1" si="255"/>
        <v/>
      </c>
      <c r="AA569" s="369" t="str">
        <f t="shared" ca="1" si="256"/>
        <v/>
      </c>
      <c r="AB569" s="344"/>
      <c r="AC569" s="363" t="e">
        <f t="shared" ca="1" si="257"/>
        <v>#N/A</v>
      </c>
      <c r="AD569" s="376" t="e">
        <f t="shared" ca="1" si="258"/>
        <v>#N/A</v>
      </c>
      <c r="AE569" s="377" t="e">
        <f t="shared" ca="1" si="237"/>
        <v>#N/A</v>
      </c>
      <c r="AF569" s="344"/>
      <c r="AG569" s="359">
        <f t="shared" ca="1" si="259"/>
        <v>6.6278397074921696</v>
      </c>
      <c r="AH569" s="357">
        <f t="shared" ca="1" si="260"/>
        <v>-0.48801018877326091</v>
      </c>
    </row>
    <row r="570" spans="1:34" x14ac:dyDescent="0.25">
      <c r="A570" s="402">
        <f t="shared" ca="1" si="238"/>
        <v>0.1</v>
      </c>
      <c r="B570" s="357">
        <f t="shared" ca="1" si="239"/>
        <v>20.59999999999998</v>
      </c>
      <c r="C570" s="342"/>
      <c r="D570" s="359">
        <f t="shared" ca="1" si="240"/>
        <v>-0.34100587431812535</v>
      </c>
      <c r="E570" s="360">
        <f t="shared" ca="1" si="241"/>
        <v>-9.4390195460472324</v>
      </c>
      <c r="F570" s="357">
        <f t="shared" ca="1" si="242"/>
        <v>9.445177340684566</v>
      </c>
      <c r="G570" s="359">
        <f t="shared" ca="1" si="243"/>
        <v>28.697938678364125</v>
      </c>
      <c r="H570" s="360">
        <f t="shared" ca="1" si="244"/>
        <v>-32.201501229477962</v>
      </c>
      <c r="I570" s="357">
        <f t="shared" ca="1" si="245"/>
        <v>43.133610628131031</v>
      </c>
      <c r="J570" s="359">
        <f t="shared" ca="1" si="246"/>
        <v>644.08020457710563</v>
      </c>
      <c r="K570" s="360">
        <f t="shared" ca="1" si="247"/>
        <v>1361.2785115828617</v>
      </c>
      <c r="L570" s="357">
        <f t="shared" ca="1" si="232"/>
        <v>1505.9609875509184</v>
      </c>
      <c r="M570" s="359">
        <f t="shared" ca="1" si="248"/>
        <v>-0.84286511098999672</v>
      </c>
      <c r="N570" s="357">
        <f t="shared" ca="1" si="249"/>
        <v>-48.29261355855251</v>
      </c>
      <c r="O570" s="343"/>
      <c r="P570" s="363">
        <f t="shared" ca="1" si="250"/>
        <v>23</v>
      </c>
      <c r="Q570" s="357">
        <f t="shared" ca="1" si="251"/>
        <v>0</v>
      </c>
      <c r="R570" s="359">
        <f t="shared" ca="1" si="252"/>
        <v>0</v>
      </c>
      <c r="S570" s="360">
        <f t="shared" ca="1" si="253"/>
        <v>8.6519999999999992</v>
      </c>
      <c r="T570" s="357">
        <f t="shared" ca="1" si="233"/>
        <v>84.87612</v>
      </c>
      <c r="U570" s="364">
        <f t="shared" ca="1" si="234"/>
        <v>0</v>
      </c>
      <c r="V570" s="359">
        <f t="shared" ca="1" si="235"/>
        <v>1.0688701900932764</v>
      </c>
      <c r="W570" s="357">
        <f t="shared" ca="1" si="236"/>
        <v>4.5012818791490421</v>
      </c>
      <c r="X570" s="343"/>
      <c r="Y570" s="367" t="str">
        <f t="shared" ca="1" si="254"/>
        <v/>
      </c>
      <c r="Z570" s="368" t="str">
        <f t="shared" ca="1" si="255"/>
        <v/>
      </c>
      <c r="AA570" s="369" t="str">
        <f t="shared" ca="1" si="256"/>
        <v/>
      </c>
      <c r="AB570" s="344"/>
      <c r="AC570" s="363" t="e">
        <f t="shared" ca="1" si="257"/>
        <v>#N/A</v>
      </c>
      <c r="AD570" s="376" t="e">
        <f t="shared" ca="1" si="258"/>
        <v>#N/A</v>
      </c>
      <c r="AE570" s="377" t="e">
        <f t="shared" ca="1" si="237"/>
        <v>#N/A</v>
      </c>
      <c r="AF570" s="344"/>
      <c r="AG570" s="359">
        <f t="shared" ca="1" si="259"/>
        <v>6.7184589379610467</v>
      </c>
      <c r="AH570" s="357">
        <f t="shared" ca="1" si="260"/>
        <v>-0.50389632220772496</v>
      </c>
    </row>
    <row r="571" spans="1:34" x14ac:dyDescent="0.25">
      <c r="A571" s="402">
        <f t="shared" ca="1" si="238"/>
        <v>0.1</v>
      </c>
      <c r="B571" s="357">
        <f t="shared" ca="1" si="239"/>
        <v>20.699999999999982</v>
      </c>
      <c r="C571" s="342"/>
      <c r="D571" s="359">
        <f t="shared" ca="1" si="240"/>
        <v>-0.34614223143712364</v>
      </c>
      <c r="E571" s="360">
        <f t="shared" ca="1" si="241"/>
        <v>-9.421599299304372</v>
      </c>
      <c r="F571" s="357">
        <f t="shared" ca="1" si="242"/>
        <v>9.4279556533236253</v>
      </c>
      <c r="G571" s="359">
        <f t="shared" ca="1" si="243"/>
        <v>28.663324455220412</v>
      </c>
      <c r="H571" s="360">
        <f t="shared" ca="1" si="244"/>
        <v>-33.143661159408403</v>
      </c>
      <c r="I571" s="357">
        <f t="shared" ca="1" si="245"/>
        <v>43.818813811819616</v>
      </c>
      <c r="J571" s="359">
        <f t="shared" ca="1" si="246"/>
        <v>646.94826773378486</v>
      </c>
      <c r="K571" s="360">
        <f t="shared" ca="1" si="247"/>
        <v>1358.0112534634175</v>
      </c>
      <c r="L571" s="357">
        <f t="shared" ca="1" si="232"/>
        <v>1504.2395506225155</v>
      </c>
      <c r="M571" s="359">
        <f t="shared" ca="1" si="248"/>
        <v>-0.85776075691750397</v>
      </c>
      <c r="N571" s="357">
        <f t="shared" ca="1" si="249"/>
        <v>-49.146071203319913</v>
      </c>
      <c r="O571" s="343"/>
      <c r="P571" s="363">
        <f t="shared" ca="1" si="250"/>
        <v>23</v>
      </c>
      <c r="Q571" s="357">
        <f t="shared" ca="1" si="251"/>
        <v>0</v>
      </c>
      <c r="R571" s="359">
        <f t="shared" ca="1" si="252"/>
        <v>0</v>
      </c>
      <c r="S571" s="360">
        <f t="shared" ca="1" si="253"/>
        <v>8.6519999999999992</v>
      </c>
      <c r="T571" s="357">
        <f t="shared" ca="1" si="233"/>
        <v>84.87612</v>
      </c>
      <c r="U571" s="364">
        <f t="shared" ca="1" si="234"/>
        <v>0</v>
      </c>
      <c r="V571" s="359">
        <f t="shared" ca="1" si="235"/>
        <v>1.0692210966413906</v>
      </c>
      <c r="W571" s="357">
        <f t="shared" ca="1" si="236"/>
        <v>4.646953972227271</v>
      </c>
      <c r="X571" s="343"/>
      <c r="Y571" s="367" t="str">
        <f t="shared" ca="1" si="254"/>
        <v/>
      </c>
      <c r="Z571" s="368" t="str">
        <f t="shared" ca="1" si="255"/>
        <v/>
      </c>
      <c r="AA571" s="369" t="str">
        <f t="shared" ca="1" si="256"/>
        <v/>
      </c>
      <c r="AB571" s="344"/>
      <c r="AC571" s="363" t="e">
        <f t="shared" ca="1" si="257"/>
        <v>#N/A</v>
      </c>
      <c r="AD571" s="376" t="e">
        <f t="shared" ca="1" si="258"/>
        <v>#N/A</v>
      </c>
      <c r="AE571" s="377" t="e">
        <f t="shared" ca="1" si="237"/>
        <v>#N/A</v>
      </c>
      <c r="AF571" s="344"/>
      <c r="AG571" s="359">
        <f t="shared" ca="1" si="259"/>
        <v>6.8034200850562829</v>
      </c>
      <c r="AH571" s="357">
        <f t="shared" ca="1" si="260"/>
        <v>-0.52025911686882131</v>
      </c>
    </row>
    <row r="572" spans="1:34" x14ac:dyDescent="0.25">
      <c r="A572" s="402">
        <f t="shared" ca="1" si="238"/>
        <v>0.1</v>
      </c>
      <c r="B572" s="357">
        <f t="shared" ca="1" si="239"/>
        <v>20.799999999999983</v>
      </c>
      <c r="C572" s="342"/>
      <c r="D572" s="359">
        <f t="shared" ca="1" si="240"/>
        <v>-0.35133207677555245</v>
      </c>
      <c r="E572" s="360">
        <f t="shared" ca="1" si="241"/>
        <v>-9.4037515438841783</v>
      </c>
      <c r="F572" s="357">
        <f t="shared" ca="1" si="242"/>
        <v>9.4103122863843094</v>
      </c>
      <c r="G572" s="359">
        <f t="shared" ca="1" si="243"/>
        <v>28.628191247542855</v>
      </c>
      <c r="H572" s="360">
        <f t="shared" ca="1" si="244"/>
        <v>-34.084036313796823</v>
      </c>
      <c r="I572" s="357">
        <f t="shared" ca="1" si="245"/>
        <v>44.511738514083113</v>
      </c>
      <c r="J572" s="359">
        <f t="shared" ca="1" si="246"/>
        <v>649.81284351892305</v>
      </c>
      <c r="K572" s="360">
        <f t="shared" ca="1" si="247"/>
        <v>1354.6498685897573</v>
      </c>
      <c r="L572" s="357">
        <f t="shared" ca="1" si="232"/>
        <v>1502.4423443421697</v>
      </c>
      <c r="M572" s="359">
        <f t="shared" ca="1" si="248"/>
        <v>-0.87217777482728465</v>
      </c>
      <c r="N572" s="357">
        <f t="shared" ca="1" si="249"/>
        <v>-49.972105482714866</v>
      </c>
      <c r="O572" s="343"/>
      <c r="P572" s="363">
        <f t="shared" ca="1" si="250"/>
        <v>23</v>
      </c>
      <c r="Q572" s="357">
        <f t="shared" ca="1" si="251"/>
        <v>0</v>
      </c>
      <c r="R572" s="359">
        <f t="shared" ca="1" si="252"/>
        <v>0</v>
      </c>
      <c r="S572" s="360">
        <f t="shared" ca="1" si="253"/>
        <v>8.6519999999999992</v>
      </c>
      <c r="T572" s="357">
        <f t="shared" ca="1" si="233"/>
        <v>84.87612</v>
      </c>
      <c r="U572" s="364">
        <f t="shared" ca="1" si="234"/>
        <v>0</v>
      </c>
      <c r="V572" s="359">
        <f t="shared" ca="1" si="235"/>
        <v>1.0695822245521049</v>
      </c>
      <c r="W572" s="357">
        <f t="shared" ca="1" si="236"/>
        <v>4.7967038817807337</v>
      </c>
      <c r="X572" s="343"/>
      <c r="Y572" s="367" t="str">
        <f t="shared" ca="1" si="254"/>
        <v/>
      </c>
      <c r="Z572" s="368" t="str">
        <f t="shared" ca="1" si="255"/>
        <v/>
      </c>
      <c r="AA572" s="369" t="str">
        <f t="shared" ca="1" si="256"/>
        <v/>
      </c>
      <c r="AB572" s="344"/>
      <c r="AC572" s="363" t="e">
        <f t="shared" ca="1" si="257"/>
        <v>#N/A</v>
      </c>
      <c r="AD572" s="376" t="e">
        <f t="shared" ca="1" si="258"/>
        <v>#N/A</v>
      </c>
      <c r="AE572" s="377" t="e">
        <f t="shared" ca="1" si="237"/>
        <v>#N/A</v>
      </c>
      <c r="AF572" s="344"/>
      <c r="AG572" s="359">
        <f t="shared" ca="1" si="259"/>
        <v>6.8829889093954089</v>
      </c>
      <c r="AH572" s="357">
        <f t="shared" ca="1" si="260"/>
        <v>-0.53709592836653619</v>
      </c>
    </row>
    <row r="573" spans="1:34" x14ac:dyDescent="0.25">
      <c r="A573" s="402">
        <f t="shared" ca="1" si="238"/>
        <v>0.1</v>
      </c>
      <c r="B573" s="357">
        <f t="shared" ca="1" si="239"/>
        <v>20.899999999999984</v>
      </c>
      <c r="C573" s="342"/>
      <c r="D573" s="359">
        <f t="shared" ca="1" si="240"/>
        <v>-0.35657077970683299</v>
      </c>
      <c r="E573" s="360">
        <f t="shared" ca="1" si="241"/>
        <v>-9.3854754011918367</v>
      </c>
      <c r="F573" s="357">
        <f t="shared" ca="1" si="242"/>
        <v>9.392246335532187</v>
      </c>
      <c r="G573" s="359">
        <f t="shared" ca="1" si="243"/>
        <v>28.592534169572172</v>
      </c>
      <c r="H573" s="360">
        <f t="shared" ca="1" si="244"/>
        <v>-35.022583853916004</v>
      </c>
      <c r="I573" s="357">
        <f t="shared" ca="1" si="245"/>
        <v>45.211883283521047</v>
      </c>
      <c r="J573" s="359">
        <f t="shared" ca="1" si="246"/>
        <v>652.67387978977877</v>
      </c>
      <c r="K573" s="360">
        <f t="shared" ca="1" si="247"/>
        <v>1351.1945375813716</v>
      </c>
      <c r="L573" s="357">
        <f t="shared" ca="1" si="232"/>
        <v>1500.5698490072295</v>
      </c>
      <c r="M573" s="359">
        <f t="shared" ca="1" si="248"/>
        <v>-0.88613341809877988</v>
      </c>
      <c r="N573" s="357">
        <f t="shared" ca="1" si="249"/>
        <v>-50.771704942561684</v>
      </c>
      <c r="O573" s="343"/>
      <c r="P573" s="363">
        <f t="shared" ca="1" si="250"/>
        <v>23</v>
      </c>
      <c r="Q573" s="357">
        <f t="shared" ca="1" si="251"/>
        <v>0</v>
      </c>
      <c r="R573" s="359">
        <f t="shared" ca="1" si="252"/>
        <v>0</v>
      </c>
      <c r="S573" s="360">
        <f t="shared" ca="1" si="253"/>
        <v>8.6519999999999992</v>
      </c>
      <c r="T573" s="357">
        <f t="shared" ca="1" si="233"/>
        <v>84.87612</v>
      </c>
      <c r="U573" s="364">
        <f t="shared" ca="1" si="234"/>
        <v>0</v>
      </c>
      <c r="V573" s="359">
        <f t="shared" ca="1" si="235"/>
        <v>1.0699535640150017</v>
      </c>
      <c r="W573" s="357">
        <f t="shared" ca="1" si="236"/>
        <v>4.9505077318012383</v>
      </c>
      <c r="X573" s="343"/>
      <c r="Y573" s="367" t="str">
        <f t="shared" ca="1" si="254"/>
        <v/>
      </c>
      <c r="Z573" s="368" t="str">
        <f t="shared" ca="1" si="255"/>
        <v/>
      </c>
      <c r="AA573" s="369" t="str">
        <f t="shared" ca="1" si="256"/>
        <v/>
      </c>
      <c r="AB573" s="344"/>
      <c r="AC573" s="363" t="e">
        <f t="shared" ca="1" si="257"/>
        <v>#N/A</v>
      </c>
      <c r="AD573" s="376" t="e">
        <f t="shared" ca="1" si="258"/>
        <v>#N/A</v>
      </c>
      <c r="AE573" s="377" t="e">
        <f t="shared" ca="1" si="237"/>
        <v>#N/A</v>
      </c>
      <c r="AF573" s="344"/>
      <c r="AG573" s="359">
        <f t="shared" ca="1" si="259"/>
        <v>6.9574210817165572</v>
      </c>
      <c r="AH573" s="357">
        <f t="shared" ca="1" si="260"/>
        <v>-0.55440405475967802</v>
      </c>
    </row>
    <row r="574" spans="1:34" x14ac:dyDescent="0.25">
      <c r="A574" s="402">
        <f t="shared" ca="1" si="238"/>
        <v>0.1</v>
      </c>
      <c r="B574" s="357">
        <f t="shared" ca="1" si="239"/>
        <v>20.999999999999986</v>
      </c>
      <c r="C574" s="342"/>
      <c r="D574" s="359">
        <f t="shared" ca="1" si="240"/>
        <v>-0.36185392136051553</v>
      </c>
      <c r="E574" s="360">
        <f t="shared" ca="1" si="241"/>
        <v>-9.3667703363207497</v>
      </c>
      <c r="F574" s="357">
        <f t="shared" ca="1" si="242"/>
        <v>9.3737572399642559</v>
      </c>
      <c r="G574" s="359">
        <f t="shared" ca="1" si="243"/>
        <v>28.556348777436121</v>
      </c>
      <c r="H574" s="360">
        <f t="shared" ca="1" si="244"/>
        <v>-35.959260887548076</v>
      </c>
      <c r="I574" s="357">
        <f t="shared" ca="1" si="245"/>
        <v>45.918770661651237</v>
      </c>
      <c r="J574" s="359">
        <f t="shared" ca="1" si="246"/>
        <v>655.53132393712917</v>
      </c>
      <c r="K574" s="360">
        <f t="shared" ca="1" si="247"/>
        <v>1347.6454453442984</v>
      </c>
      <c r="L574" s="357">
        <f t="shared" ca="1" si="232"/>
        <v>1498.6225552219605</v>
      </c>
      <c r="M574" s="359">
        <f t="shared" ca="1" si="248"/>
        <v>-0.89964455888437811</v>
      </c>
      <c r="N574" s="357">
        <f t="shared" ca="1" si="249"/>
        <v>-51.545836285983533</v>
      </c>
      <c r="O574" s="343"/>
      <c r="P574" s="363">
        <f t="shared" ca="1" si="250"/>
        <v>23</v>
      </c>
      <c r="Q574" s="357">
        <f t="shared" ca="1" si="251"/>
        <v>0</v>
      </c>
      <c r="R574" s="359">
        <f t="shared" ca="1" si="252"/>
        <v>0</v>
      </c>
      <c r="S574" s="360">
        <f t="shared" ca="1" si="253"/>
        <v>8.6519999999999992</v>
      </c>
      <c r="T574" s="357">
        <f t="shared" ca="1" si="233"/>
        <v>84.87612</v>
      </c>
      <c r="U574" s="364">
        <f t="shared" ca="1" si="234"/>
        <v>0</v>
      </c>
      <c r="V574" s="359">
        <f t="shared" ca="1" si="235"/>
        <v>1.0703351050097374</v>
      </c>
      <c r="W574" s="357">
        <f t="shared" ca="1" si="236"/>
        <v>5.1083411472834328</v>
      </c>
      <c r="X574" s="343"/>
      <c r="Y574" s="367" t="str">
        <f t="shared" ca="1" si="254"/>
        <v/>
      </c>
      <c r="Z574" s="368" t="str">
        <f t="shared" ca="1" si="255"/>
        <v/>
      </c>
      <c r="AA574" s="369" t="str">
        <f t="shared" ca="1" si="256"/>
        <v/>
      </c>
      <c r="AB574" s="344"/>
      <c r="AC574" s="363">
        <f t="shared" ca="1" si="257"/>
        <v>20.999999999999986</v>
      </c>
      <c r="AD574" s="376">
        <f t="shared" ca="1" si="258"/>
        <v>655.53132393712917</v>
      </c>
      <c r="AE574" s="377" t="e">
        <f t="shared" ca="1" si="237"/>
        <v>#N/A</v>
      </c>
      <c r="AF574" s="344"/>
      <c r="AG574" s="359">
        <f t="shared" ca="1" si="259"/>
        <v>7.0269618485251026</v>
      </c>
      <c r="AH574" s="357">
        <f t="shared" ca="1" si="260"/>
        <v>-0.57218073645414225</v>
      </c>
    </row>
    <row r="575" spans="1:34" x14ac:dyDescent="0.25">
      <c r="A575" s="402">
        <f t="shared" ca="1" si="238"/>
        <v>0.1</v>
      </c>
      <c r="B575" s="357">
        <f t="shared" ca="1" si="239"/>
        <v>21.099999999999987</v>
      </c>
      <c r="C575" s="342"/>
      <c r="D575" s="359">
        <f t="shared" ca="1" si="240"/>
        <v>-0.36717728569937436</v>
      </c>
      <c r="E575" s="360">
        <f t="shared" ca="1" si="241"/>
        <v>-9.3476361343899015</v>
      </c>
      <c r="F575" s="357">
        <f t="shared" ca="1" si="242"/>
        <v>9.3548447587378671</v>
      </c>
      <c r="G575" s="359">
        <f t="shared" ca="1" si="243"/>
        <v>28.519631048866184</v>
      </c>
      <c r="H575" s="360">
        <f t="shared" ca="1" si="244"/>
        <v>-36.894024500987065</v>
      </c>
      <c r="I575" s="357">
        <f t="shared" ca="1" si="245"/>
        <v>46.631946121118361</v>
      </c>
      <c r="J575" s="359">
        <f t="shared" ca="1" si="246"/>
        <v>658.38512292844428</v>
      </c>
      <c r="K575" s="360">
        <f t="shared" ca="1" si="247"/>
        <v>1344.0027810748716</v>
      </c>
      <c r="L575" s="357">
        <f t="shared" ca="1" si="232"/>
        <v>1496.6009640617274</v>
      </c>
      <c r="M575" s="359">
        <f t="shared" ca="1" si="248"/>
        <v>-0.91272764745337243</v>
      </c>
      <c r="N575" s="357">
        <f t="shared" ca="1" si="249"/>
        <v>-52.29544204398276</v>
      </c>
      <c r="O575" s="343"/>
      <c r="P575" s="363">
        <f t="shared" ca="1" si="250"/>
        <v>23</v>
      </c>
      <c r="Q575" s="357">
        <f t="shared" ca="1" si="251"/>
        <v>0</v>
      </c>
      <c r="R575" s="359">
        <f t="shared" ca="1" si="252"/>
        <v>0</v>
      </c>
      <c r="S575" s="360">
        <f t="shared" ca="1" si="253"/>
        <v>8.6519999999999992</v>
      </c>
      <c r="T575" s="357">
        <f t="shared" ca="1" si="233"/>
        <v>84.87612</v>
      </c>
      <c r="U575" s="364">
        <f t="shared" ca="1" si="234"/>
        <v>0</v>
      </c>
      <c r="V575" s="359">
        <f t="shared" ca="1" si="235"/>
        <v>1.0707268373037753</v>
      </c>
      <c r="W575" s="357">
        <f t="shared" ca="1" si="236"/>
        <v>5.2701792546889914</v>
      </c>
      <c r="X575" s="343"/>
      <c r="Y575" s="367" t="str">
        <f t="shared" ca="1" si="254"/>
        <v/>
      </c>
      <c r="Z575" s="368" t="str">
        <f t="shared" ca="1" si="255"/>
        <v/>
      </c>
      <c r="AA575" s="369" t="str">
        <f t="shared" ca="1" si="256"/>
        <v/>
      </c>
      <c r="AB575" s="344"/>
      <c r="AC575" s="363" t="e">
        <f t="shared" ca="1" si="257"/>
        <v>#N/A</v>
      </c>
      <c r="AD575" s="376" t="e">
        <f t="shared" ca="1" si="258"/>
        <v>#N/A</v>
      </c>
      <c r="AE575" s="377" t="e">
        <f t="shared" ca="1" si="237"/>
        <v>#N/A</v>
      </c>
      <c r="AF575" s="344"/>
      <c r="AG575" s="359">
        <f t="shared" ca="1" si="259"/>
        <v>7.0918458641746218</v>
      </c>
      <c r="AH575" s="357">
        <f t="shared" ca="1" si="260"/>
        <v>-0.59042315618162655</v>
      </c>
    </row>
    <row r="576" spans="1:34" x14ac:dyDescent="0.25">
      <c r="A576" s="402">
        <f t="shared" ca="1" si="238"/>
        <v>0.1</v>
      </c>
      <c r="B576" s="357">
        <f t="shared" ca="1" si="239"/>
        <v>21.199999999999989</v>
      </c>
      <c r="C576" s="342"/>
      <c r="D576" s="359">
        <f t="shared" ca="1" si="240"/>
        <v>-0.37253685055413094</v>
      </c>
      <c r="E576" s="360">
        <f t="shared" ca="1" si="241"/>
        <v>-9.3280728787018763</v>
      </c>
      <c r="F576" s="357">
        <f t="shared" ca="1" si="242"/>
        <v>9.3355089489215484</v>
      </c>
      <c r="G576" s="359">
        <f t="shared" ca="1" si="243"/>
        <v>28.48237736381077</v>
      </c>
      <c r="H576" s="360">
        <f t="shared" ca="1" si="244"/>
        <v>-37.826831788857255</v>
      </c>
      <c r="I576" s="357">
        <f t="shared" ca="1" si="245"/>
        <v>47.350977006573181</v>
      </c>
      <c r="J576" s="359">
        <f t="shared" ca="1" si="246"/>
        <v>661.23522334907807</v>
      </c>
      <c r="K576" s="360">
        <f t="shared" ca="1" si="247"/>
        <v>1340.2667382603793</v>
      </c>
      <c r="L576" s="357">
        <f t="shared" ca="1" si="232"/>
        <v>1494.5055872376729</v>
      </c>
      <c r="M576" s="359">
        <f t="shared" ca="1" si="248"/>
        <v>-0.92539868117711566</v>
      </c>
      <c r="N576" s="357">
        <f t="shared" ca="1" si="249"/>
        <v>-53.021438798421187</v>
      </c>
      <c r="O576" s="343"/>
      <c r="P576" s="363">
        <f t="shared" ca="1" si="250"/>
        <v>23</v>
      </c>
      <c r="Q576" s="357">
        <f t="shared" ca="1" si="251"/>
        <v>0</v>
      </c>
      <c r="R576" s="359">
        <f t="shared" ca="1" si="252"/>
        <v>0</v>
      </c>
      <c r="S576" s="360">
        <f t="shared" ca="1" si="253"/>
        <v>8.6519999999999992</v>
      </c>
      <c r="T576" s="357">
        <f t="shared" ca="1" si="233"/>
        <v>84.87612</v>
      </c>
      <c r="U576" s="364">
        <f t="shared" ca="1" si="234"/>
        <v>0</v>
      </c>
      <c r="V576" s="359">
        <f t="shared" ca="1" si="235"/>
        <v>1.0711287504503983</v>
      </c>
      <c r="W576" s="357">
        <f t="shared" ca="1" si="236"/>
        <v>5.4359966830149746</v>
      </c>
      <c r="X576" s="343"/>
      <c r="Y576" s="367" t="str">
        <f t="shared" ca="1" si="254"/>
        <v/>
      </c>
      <c r="Z576" s="368" t="str">
        <f t="shared" ca="1" si="255"/>
        <v/>
      </c>
      <c r="AA576" s="369" t="str">
        <f t="shared" ca="1" si="256"/>
        <v/>
      </c>
      <c r="AB576" s="344"/>
      <c r="AC576" s="363" t="e">
        <f t="shared" ca="1" si="257"/>
        <v>#N/A</v>
      </c>
      <c r="AD576" s="376" t="e">
        <f t="shared" ca="1" si="258"/>
        <v>#N/A</v>
      </c>
      <c r="AE576" s="377" t="e">
        <f t="shared" ca="1" si="237"/>
        <v>#N/A</v>
      </c>
      <c r="AF576" s="344"/>
      <c r="AG576" s="359">
        <f t="shared" ca="1" si="259"/>
        <v>7.1522971599262686</v>
      </c>
      <c r="AH576" s="357">
        <f t="shared" ca="1" si="260"/>
        <v>-0.60912843905328151</v>
      </c>
    </row>
    <row r="577" spans="1:34" x14ac:dyDescent="0.25">
      <c r="A577" s="402">
        <f t="shared" ca="1" si="238"/>
        <v>0.1</v>
      </c>
      <c r="B577" s="357">
        <f t="shared" ca="1" si="239"/>
        <v>21.29999999999999</v>
      </c>
      <c r="C577" s="342"/>
      <c r="D577" s="359">
        <f t="shared" ca="1" si="240"/>
        <v>-0.37792877871401748</v>
      </c>
      <c r="E577" s="360">
        <f t="shared" ca="1" si="241"/>
        <v>-9.3080809306056231</v>
      </c>
      <c r="F577" s="357">
        <f t="shared" ca="1" si="242"/>
        <v>9.3157501454517497</v>
      </c>
      <c r="G577" s="359">
        <f t="shared" ca="1" si="243"/>
        <v>28.44458448593937</v>
      </c>
      <c r="H577" s="360">
        <f t="shared" ca="1" si="244"/>
        <v>-38.757639881917818</v>
      </c>
      <c r="I577" s="357">
        <f t="shared" ca="1" si="245"/>
        <v>48.075451488198937</v>
      </c>
      <c r="J577" s="359">
        <f t="shared" ca="1" si="246"/>
        <v>664.08157144156553</v>
      </c>
      <c r="K577" s="360">
        <f t="shared" ca="1" si="247"/>
        <v>1336.4375146768405</v>
      </c>
      <c r="L577" s="357">
        <f t="shared" ca="1" si="232"/>
        <v>1492.3369472622157</v>
      </c>
      <c r="M577" s="359">
        <f t="shared" ca="1" si="248"/>
        <v>-0.9376731818229167</v>
      </c>
      <c r="N577" s="357">
        <f t="shared" ca="1" si="249"/>
        <v>-53.724715881056184</v>
      </c>
      <c r="O577" s="343"/>
      <c r="P577" s="363">
        <f t="shared" ca="1" si="250"/>
        <v>23</v>
      </c>
      <c r="Q577" s="357">
        <f t="shared" ca="1" si="251"/>
        <v>0</v>
      </c>
      <c r="R577" s="359">
        <f t="shared" ca="1" si="252"/>
        <v>0</v>
      </c>
      <c r="S577" s="360">
        <f t="shared" ca="1" si="253"/>
        <v>8.6519999999999992</v>
      </c>
      <c r="T577" s="357">
        <f t="shared" ca="1" si="233"/>
        <v>84.87612</v>
      </c>
      <c r="U577" s="364">
        <f t="shared" ca="1" si="234"/>
        <v>0</v>
      </c>
      <c r="V577" s="359">
        <f t="shared" ca="1" si="235"/>
        <v>1.0715408337869918</v>
      </c>
      <c r="W577" s="357">
        <f t="shared" ca="1" si="236"/>
        <v>5.6057675654255785</v>
      </c>
      <c r="X577" s="343"/>
      <c r="Y577" s="367" t="str">
        <f t="shared" ca="1" si="254"/>
        <v/>
      </c>
      <c r="Z577" s="368" t="str">
        <f t="shared" ca="1" si="255"/>
        <v/>
      </c>
      <c r="AA577" s="369" t="str">
        <f t="shared" ca="1" si="256"/>
        <v/>
      </c>
      <c r="AB577" s="344"/>
      <c r="AC577" s="363" t="e">
        <f t="shared" ca="1" si="257"/>
        <v>#N/A</v>
      </c>
      <c r="AD577" s="376" t="e">
        <f t="shared" ca="1" si="258"/>
        <v>#N/A</v>
      </c>
      <c r="AE577" s="377" t="e">
        <f t="shared" ca="1" si="237"/>
        <v>#N/A</v>
      </c>
      <c r="AF577" s="344"/>
      <c r="AG577" s="359">
        <f t="shared" ca="1" si="259"/>
        <v>7.2085292242170436</v>
      </c>
      <c r="AH577" s="357">
        <f t="shared" ca="1" si="260"/>
        <v>-0.62829365268319171</v>
      </c>
    </row>
    <row r="578" spans="1:34" x14ac:dyDescent="0.25">
      <c r="A578" s="402">
        <f t="shared" ca="1" si="238"/>
        <v>0.1</v>
      </c>
      <c r="B578" s="357">
        <f t="shared" ca="1" si="239"/>
        <v>21.399999999999991</v>
      </c>
      <c r="C578" s="342"/>
      <c r="D578" s="359">
        <f t="shared" ca="1" si="240"/>
        <v>-0.38334940915185967</v>
      </c>
      <c r="E578" s="360">
        <f t="shared" ca="1" si="241"/>
        <v>-9.2876609109478068</v>
      </c>
      <c r="F578" s="357">
        <f t="shared" ca="1" si="242"/>
        <v>9.2955689425793047</v>
      </c>
      <c r="G578" s="359">
        <f t="shared" ca="1" si="243"/>
        <v>28.406249545024185</v>
      </c>
      <c r="H578" s="360">
        <f t="shared" ca="1" si="244"/>
        <v>-39.686405973012597</v>
      </c>
      <c r="I578" s="357">
        <f t="shared" ca="1" si="245"/>
        <v>48.804977535789895</v>
      </c>
      <c r="J578" s="359">
        <f t="shared" ca="1" si="246"/>
        <v>666.92411314311369</v>
      </c>
      <c r="K578" s="360">
        <f t="shared" ca="1" si="247"/>
        <v>1332.5153123840939</v>
      </c>
      <c r="L578" s="357">
        <f t="shared" ca="1" si="232"/>
        <v>1490.0955776156804</v>
      </c>
      <c r="M578" s="359">
        <f t="shared" ca="1" si="248"/>
        <v>-0.94956617995802861</v>
      </c>
      <c r="N578" s="357">
        <f t="shared" ca="1" si="249"/>
        <v>-54.406134479955057</v>
      </c>
      <c r="O578" s="343"/>
      <c r="P578" s="363">
        <f t="shared" ca="1" si="250"/>
        <v>23</v>
      </c>
      <c r="Q578" s="357">
        <f t="shared" ca="1" si="251"/>
        <v>0</v>
      </c>
      <c r="R578" s="359">
        <f t="shared" ca="1" si="252"/>
        <v>0</v>
      </c>
      <c r="S578" s="360">
        <f t="shared" ca="1" si="253"/>
        <v>8.6519999999999992</v>
      </c>
      <c r="T578" s="357">
        <f t="shared" ca="1" si="233"/>
        <v>84.87612</v>
      </c>
      <c r="U578" s="364">
        <f t="shared" ca="1" si="234"/>
        <v>0</v>
      </c>
      <c r="V578" s="359">
        <f t="shared" ca="1" si="235"/>
        <v>1.0719630764335697</v>
      </c>
      <c r="W578" s="357">
        <f t="shared" ca="1" si="236"/>
        <v>5.7794655414095626</v>
      </c>
      <c r="X578" s="343"/>
      <c r="Y578" s="367" t="str">
        <f t="shared" ca="1" si="254"/>
        <v/>
      </c>
      <c r="Z578" s="368" t="str">
        <f t="shared" ca="1" si="255"/>
        <v/>
      </c>
      <c r="AA578" s="369" t="str">
        <f t="shared" ca="1" si="256"/>
        <v/>
      </c>
      <c r="AB578" s="344"/>
      <c r="AC578" s="363" t="e">
        <f t="shared" ca="1" si="257"/>
        <v>#N/A</v>
      </c>
      <c r="AD578" s="376" t="e">
        <f t="shared" ca="1" si="258"/>
        <v>#N/A</v>
      </c>
      <c r="AE578" s="377" t="e">
        <f t="shared" ca="1" si="237"/>
        <v>#N/A</v>
      </c>
      <c r="AF578" s="344"/>
      <c r="AG578" s="359">
        <f t="shared" ca="1" si="259"/>
        <v>7.260745171812049</v>
      </c>
      <c r="AH578" s="357">
        <f t="shared" ca="1" si="260"/>
        <v>-0.64791580737697396</v>
      </c>
    </row>
    <row r="579" spans="1:34" x14ac:dyDescent="0.25">
      <c r="A579" s="402">
        <f t="shared" ca="1" si="238"/>
        <v>0.1</v>
      </c>
      <c r="B579" s="357">
        <f t="shared" ca="1" si="239"/>
        <v>21.499999999999993</v>
      </c>
      <c r="C579" s="342"/>
      <c r="D579" s="359">
        <f t="shared" ca="1" si="240"/>
        <v>-0.3887952484455397</v>
      </c>
      <c r="E579" s="360">
        <f t="shared" ca="1" si="241"/>
        <v>-9.2668136829984729</v>
      </c>
      <c r="F579" s="357">
        <f t="shared" ca="1" si="242"/>
        <v>9.2749661767912421</v>
      </c>
      <c r="G579" s="359">
        <f t="shared" ca="1" si="243"/>
        <v>28.367370020179631</v>
      </c>
      <c r="H579" s="360">
        <f t="shared" ca="1" si="244"/>
        <v>-40.613087341312443</v>
      </c>
      <c r="I579" s="357">
        <f t="shared" ca="1" si="245"/>
        <v>49.539181919515578</v>
      </c>
      <c r="J579" s="359">
        <f t="shared" ca="1" si="246"/>
        <v>669.76279412137387</v>
      </c>
      <c r="K579" s="360">
        <f t="shared" ca="1" si="247"/>
        <v>1328.5003377183778</v>
      </c>
      <c r="L579" s="357">
        <f t="shared" ca="1" si="232"/>
        <v>1487.7820229143495</v>
      </c>
      <c r="M579" s="359">
        <f t="shared" ca="1" si="248"/>
        <v>-0.96109220539387774</v>
      </c>
      <c r="N579" s="357">
        <f t="shared" ca="1" si="249"/>
        <v>-55.066527091989649</v>
      </c>
      <c r="O579" s="343"/>
      <c r="P579" s="363">
        <f t="shared" ca="1" si="250"/>
        <v>23</v>
      </c>
      <c r="Q579" s="357">
        <f t="shared" ca="1" si="251"/>
        <v>0</v>
      </c>
      <c r="R579" s="359">
        <f t="shared" ca="1" si="252"/>
        <v>0</v>
      </c>
      <c r="S579" s="360">
        <f t="shared" ca="1" si="253"/>
        <v>8.6519999999999992</v>
      </c>
      <c r="T579" s="357">
        <f t="shared" ca="1" si="233"/>
        <v>84.87612</v>
      </c>
      <c r="U579" s="364">
        <f t="shared" ca="1" si="234"/>
        <v>0</v>
      </c>
      <c r="V579" s="359">
        <f t="shared" ca="1" si="235"/>
        <v>1.0723954672915268</v>
      </c>
      <c r="W579" s="357">
        <f t="shared" ca="1" si="236"/>
        <v>5.9570637594285447</v>
      </c>
      <c r="X579" s="343"/>
      <c r="Y579" s="367" t="str">
        <f t="shared" ca="1" si="254"/>
        <v/>
      </c>
      <c r="Z579" s="368" t="str">
        <f t="shared" ca="1" si="255"/>
        <v/>
      </c>
      <c r="AA579" s="369" t="str">
        <f t="shared" ca="1" si="256"/>
        <v/>
      </c>
      <c r="AB579" s="344"/>
      <c r="AC579" s="363" t="e">
        <f t="shared" ca="1" si="257"/>
        <v>#N/A</v>
      </c>
      <c r="AD579" s="376" t="e">
        <f t="shared" ca="1" si="258"/>
        <v>#N/A</v>
      </c>
      <c r="AE579" s="377" t="e">
        <f t="shared" ca="1" si="237"/>
        <v>#N/A</v>
      </c>
      <c r="AF579" s="344"/>
      <c r="AG579" s="359">
        <f t="shared" ca="1" si="259"/>
        <v>7.3091379826758152</v>
      </c>
      <c r="AH579" s="357">
        <f t="shared" ca="1" si="260"/>
        <v>-0.66799185638113301</v>
      </c>
    </row>
    <row r="580" spans="1:34" x14ac:dyDescent="0.25">
      <c r="A580" s="402">
        <f t="shared" ca="1" si="238"/>
        <v>0.1</v>
      </c>
      <c r="B580" s="357">
        <f t="shared" ca="1" si="239"/>
        <v>21.599999999999994</v>
      </c>
      <c r="C580" s="342"/>
      <c r="D580" s="359">
        <f t="shared" ca="1" si="240"/>
        <v>-0.39426296244337167</v>
      </c>
      <c r="E580" s="360">
        <f t="shared" ca="1" si="241"/>
        <v>-9.2455403367401825</v>
      </c>
      <c r="F580" s="357">
        <f t="shared" ca="1" si="242"/>
        <v>9.2539429110971057</v>
      </c>
      <c r="G580" s="359">
        <f t="shared" ca="1" si="243"/>
        <v>28.327943723935295</v>
      </c>
      <c r="H580" s="360">
        <f t="shared" ca="1" si="244"/>
        <v>-41.537641374986464</v>
      </c>
      <c r="I580" s="357">
        <f t="shared" ca="1" si="245"/>
        <v>50.277709242003382</v>
      </c>
      <c r="J580" s="359">
        <f t="shared" ca="1" si="246"/>
        <v>672.5975598085796</v>
      </c>
      <c r="K580" s="360">
        <f t="shared" ca="1" si="247"/>
        <v>1324.3928012825629</v>
      </c>
      <c r="L580" s="357">
        <f t="shared" ref="L580:L643" ca="1" si="261">SQRT(pos_x^2+pos_z^2)</f>
        <v>1485.396839080227</v>
      </c>
      <c r="M580" s="359">
        <f t="shared" ca="1" si="248"/>
        <v>-0.97226528272232948</v>
      </c>
      <c r="N580" s="357">
        <f t="shared" ca="1" si="249"/>
        <v>-55.706697267083236</v>
      </c>
      <c r="O580" s="343"/>
      <c r="P580" s="363">
        <f t="shared" ca="1" si="250"/>
        <v>23</v>
      </c>
      <c r="Q580" s="357">
        <f t="shared" ca="1" si="251"/>
        <v>0</v>
      </c>
      <c r="R580" s="359">
        <f t="shared" ca="1" si="252"/>
        <v>0</v>
      </c>
      <c r="S580" s="360">
        <f t="shared" ca="1" si="253"/>
        <v>8.6519999999999992</v>
      </c>
      <c r="T580" s="357">
        <f t="shared" ref="T580:T643" ca="1" si="262">m*g</f>
        <v>84.87612</v>
      </c>
      <c r="U580" s="364">
        <f t="shared" ref="U580:U643" ca="1" si="263">IF(pos_xz&lt;L_rampe,Poids*COS(Beta),0)</f>
        <v>0</v>
      </c>
      <c r="V580" s="359">
        <f t="shared" ref="V580:V643" ca="1" si="264">Rho_moyen*(20000-Alt_rampe-pos_z)/(20000+Alt_rampe+pos_z)</f>
        <v>1.072837995042601</v>
      </c>
      <c r="W580" s="357">
        <f t="shared" ref="W580:W643" ca="1" si="265">1/2*Rho*Sref*Cx*vit_xz^2</f>
        <v>6.1385348800240251</v>
      </c>
      <c r="X580" s="343"/>
      <c r="Y580" s="367" t="str">
        <f t="shared" ca="1" si="254"/>
        <v/>
      </c>
      <c r="Z580" s="368" t="str">
        <f t="shared" ca="1" si="255"/>
        <v/>
      </c>
      <c r="AA580" s="369" t="str">
        <f t="shared" ca="1" si="256"/>
        <v/>
      </c>
      <c r="AB580" s="344"/>
      <c r="AC580" s="363" t="e">
        <f t="shared" ca="1" si="257"/>
        <v>#N/A</v>
      </c>
      <c r="AD580" s="376" t="e">
        <f t="shared" ca="1" si="258"/>
        <v>#N/A</v>
      </c>
      <c r="AE580" s="377" t="e">
        <f t="shared" ref="AE580:AE643" ca="1" si="266">IF(t&lt;T_para, pos_z, NA())</f>
        <v>#N/A</v>
      </c>
      <c r="AF580" s="344"/>
      <c r="AG580" s="359">
        <f t="shared" ca="1" si="259"/>
        <v>7.3538907942534593</v>
      </c>
      <c r="AH580" s="357">
        <f t="shared" ca="1" si="260"/>
        <v>-0.68851869618915229</v>
      </c>
    </row>
    <row r="581" spans="1:34" x14ac:dyDescent="0.25">
      <c r="A581" s="402">
        <f t="shared" ref="A581:A644" ca="1" si="267">IF(B580+0.01&lt;=T_ini+ROUNDUP(Temps_fin_propu,0), 0.01, IF(K580&gt;0, 0.1, 0.0001))</f>
        <v>0.1</v>
      </c>
      <c r="B581" s="357">
        <f t="shared" ref="B581:B644" ca="1" si="268">B580+pas</f>
        <v>21.699999999999996</v>
      </c>
      <c r="C581" s="342"/>
      <c r="D581" s="359">
        <f t="shared" ref="D581:D644" ca="1" si="269">IF(AND(L580&lt;L_rampe,Poussee&lt;Poids*SIN(M580)),0,(-W580+Poussee)/m*COS(M580)-U580/m*SIN(M580))</f>
        <v>-0.39974936820880685</v>
      </c>
      <c r="E581" s="360">
        <f t="shared" ref="E581:E644" ca="1" si="270">IF(AND(L580&lt;L_rampe,Poussee&lt;Poids*SIN(M580)),0,(-W580+Poussee)/m*SIN(M580)+U580/m*COS(M580)-Poids/m)</f>
        <v>-9.223842174414342</v>
      </c>
      <c r="F581" s="357">
        <f t="shared" ref="F581:F644" ca="1" si="271">SQRT(acc_x^2+acc_z^2)</f>
        <v>9.2325004205734018</v>
      </c>
      <c r="G581" s="359">
        <f t="shared" ref="G581:G644" ca="1" si="272">G580+acc_x*pas</f>
        <v>28.287968787114416</v>
      </c>
      <c r="H581" s="360">
        <f t="shared" ref="H581:H644" ca="1" si="273">H580+acc_z*pas</f>
        <v>-42.460025592427897</v>
      </c>
      <c r="I581" s="357">
        <f t="shared" ref="I581:I644" ca="1" si="274">SQRT(vit_x^2+vit_z^2)</f>
        <v>51.020221005111217</v>
      </c>
      <c r="J581" s="359">
        <f t="shared" ref="J581:J644" ca="1" si="275">J580+0.5*(vit_x+G580)*pas*(K580&gt;=0)</f>
        <v>675.42835543413207</v>
      </c>
      <c r="K581" s="360">
        <f t="shared" ref="K581:K644" ca="1" si="276">K580+0.5*(vit_z+H580)*pas</f>
        <v>1320.1929179341921</v>
      </c>
      <c r="L581" s="357">
        <f t="shared" ca="1" si="261"/>
        <v>1482.9405935127857</v>
      </c>
      <c r="M581" s="359">
        <f t="shared" ref="M581:M644" ca="1" si="277">IF(AND(L580&gt;L_rampe,G581&gt;0),ATAN2(G581,H581),$M$4)</f>
        <v>-0.98309893110893198</v>
      </c>
      <c r="N581" s="357">
        <f t="shared" ref="N581:N644" ca="1" si="278">DEGREES(Beta)</f>
        <v>-56.327419596364273</v>
      </c>
      <c r="O581" s="343"/>
      <c r="P581" s="363">
        <f t="shared" ref="P581:P644" ca="1" si="279">MATCH(t-pas/2-T_ini,CdP_t)</f>
        <v>23</v>
      </c>
      <c r="Q581" s="357">
        <f t="shared" ref="Q581:Q644" ca="1" si="280">(INDEX(CdP,2,i_P+1)-INDEX(CdP,2,i_P+0))/(INDEX(CdP,1,i_P+1)-INDEX(CdP,1,i_P+0))*(t-pas/2-T_ini-INDEX(CdP,1,i_P+0))+INDEX(CdP,2,i_P+0)</f>
        <v>0</v>
      </c>
      <c r="R581" s="359">
        <f t="shared" ref="R581:R644" ca="1" si="281">Poussee/(g*ISP)</f>
        <v>0</v>
      </c>
      <c r="S581" s="360">
        <f t="shared" ref="S581:S644" ca="1" si="282">S580-Débit*pas</f>
        <v>8.6519999999999992</v>
      </c>
      <c r="T581" s="357">
        <f t="shared" ca="1" si="262"/>
        <v>84.87612</v>
      </c>
      <c r="U581" s="364">
        <f t="shared" ca="1" si="263"/>
        <v>0</v>
      </c>
      <c r="V581" s="359">
        <f t="shared" ca="1" si="264"/>
        <v>1.0732906481480293</v>
      </c>
      <c r="W581" s="357">
        <f t="shared" ca="1" si="265"/>
        <v>6.3238510793534966</v>
      </c>
      <c r="X581" s="343"/>
      <c r="Y581" s="367" t="str">
        <f t="shared" ref="Y581:Y644" ca="1" si="283">IF(AND(pos_z&lt;=0,K580&gt;0),"Impact balistique","") &amp; IF(AND(H582&lt;0,vit_z&gt;=0),"Apogée","") &amp; IF(AND(Poussee=0,Q580&gt;0),"Fin de propulsion","") &amp; IF(AND(L582&gt;L_rampe,pos_xz&lt;=L_rampe),"Sortie de rampe","")</f>
        <v/>
      </c>
      <c r="Z581" s="368" t="str">
        <f t="shared" ref="Z581:Z644" ca="1" si="284">IF(ABS(t-T_para)&lt;pas/2,"Para","")</f>
        <v/>
      </c>
      <c r="AA581" s="369" t="str">
        <f t="shared" ref="AA581:AA644" ca="1" si="285">IF(ABS(t-T_satellite)&lt;pas/2,"Satellite","")</f>
        <v/>
      </c>
      <c r="AB581" s="344"/>
      <c r="AC581" s="363" t="e">
        <f t="shared" ref="AC581:AC644" ca="1" si="286">IF(ABS(t-ROUND(t,0))&lt;0.001,t,NA())</f>
        <v>#N/A</v>
      </c>
      <c r="AD581" s="376" t="e">
        <f t="shared" ref="AD581:AD644" ca="1" si="287">IF(ABS(t-ROUND(t,0))&lt;0.001,pos_x,NA())</f>
        <v>#N/A</v>
      </c>
      <c r="AE581" s="377" t="e">
        <f t="shared" ca="1" si="266"/>
        <v>#N/A</v>
      </c>
      <c r="AF581" s="344"/>
      <c r="AG581" s="359">
        <f t="shared" ref="AG581:AG644" ca="1" si="288">IF(AND(L580&lt;L_rampe,Poussee&lt;Poids*SIN(M580)),0,(-W580+Poussee)/m-Poids*SIN(M580)/m)</f>
        <v>7.3951772334006449</v>
      </c>
      <c r="AH581" s="357">
        <f t="shared" ref="AH581:AH644" ca="1" si="289">IF(AND(L580&lt;L_rampe,Poussee&lt;Poids*SIN(M580)), g*SIN(M580), (-W580+Poussee)/m)</f>
        <v>-0.70949316690060393</v>
      </c>
    </row>
    <row r="582" spans="1:34" x14ac:dyDescent="0.25">
      <c r="A582" s="402">
        <f t="shared" ca="1" si="267"/>
        <v>0.1</v>
      </c>
      <c r="B582" s="357">
        <f t="shared" ca="1" si="268"/>
        <v>21.799999999999997</v>
      </c>
      <c r="C582" s="342"/>
      <c r="D582" s="359">
        <f t="shared" ca="1" si="269"/>
        <v>-0.40525142626974725</v>
      </c>
      <c r="E582" s="360">
        <f t="shared" ca="1" si="270"/>
        <v>-9.2017206972237826</v>
      </c>
      <c r="F582" s="357">
        <f t="shared" ca="1" si="271"/>
        <v>9.2106401790651979</v>
      </c>
      <c r="G582" s="359">
        <f t="shared" ca="1" si="272"/>
        <v>28.24744364448744</v>
      </c>
      <c r="H582" s="360">
        <f t="shared" ca="1" si="273"/>
        <v>-43.380197662150273</v>
      </c>
      <c r="I582" s="357">
        <f t="shared" ca="1" si="274"/>
        <v>51.766394713710959</v>
      </c>
      <c r="J582" s="359">
        <f t="shared" ca="1" si="275"/>
        <v>678.25512605571214</v>
      </c>
      <c r="K582" s="360">
        <f t="shared" ca="1" si="276"/>
        <v>1315.9009067714633</v>
      </c>
      <c r="L582" s="357">
        <f t="shared" ca="1" si="261"/>
        <v>1480.4138652629572</v>
      </c>
      <c r="M582" s="359">
        <f t="shared" ca="1" si="277"/>
        <v>-0.99360616761204557</v>
      </c>
      <c r="N582" s="357">
        <f t="shared" ca="1" si="278"/>
        <v>-56.92943990233848</v>
      </c>
      <c r="O582" s="343"/>
      <c r="P582" s="363">
        <f t="shared" ca="1" si="279"/>
        <v>23</v>
      </c>
      <c r="Q582" s="357">
        <f t="shared" ca="1" si="280"/>
        <v>0</v>
      </c>
      <c r="R582" s="359">
        <f t="shared" ca="1" si="281"/>
        <v>0</v>
      </c>
      <c r="S582" s="360">
        <f t="shared" ca="1" si="282"/>
        <v>8.6519999999999992</v>
      </c>
      <c r="T582" s="357">
        <f t="shared" ca="1" si="262"/>
        <v>84.87612</v>
      </c>
      <c r="U582" s="364">
        <f t="shared" ca="1" si="263"/>
        <v>0</v>
      </c>
      <c r="V582" s="359">
        <f t="shared" ca="1" si="264"/>
        <v>1.0737534148478836</v>
      </c>
      <c r="W582" s="357">
        <f t="shared" ca="1" si="265"/>
        <v>6.5129840531282088</v>
      </c>
      <c r="X582" s="343"/>
      <c r="Y582" s="367" t="str">
        <f t="shared" ca="1" si="283"/>
        <v/>
      </c>
      <c r="Z582" s="368" t="str">
        <f t="shared" ca="1" si="284"/>
        <v/>
      </c>
      <c r="AA582" s="369" t="str">
        <f t="shared" ca="1" si="285"/>
        <v/>
      </c>
      <c r="AB582" s="344"/>
      <c r="AC582" s="363" t="e">
        <f t="shared" ca="1" si="286"/>
        <v>#N/A</v>
      </c>
      <c r="AD582" s="376" t="e">
        <f t="shared" ca="1" si="287"/>
        <v>#N/A</v>
      </c>
      <c r="AE582" s="377" t="e">
        <f t="shared" ca="1" si="266"/>
        <v>#N/A</v>
      </c>
      <c r="AF582" s="344"/>
      <c r="AG582" s="359">
        <f t="shared" ca="1" si="288"/>
        <v>7.4331617764503726</v>
      </c>
      <c r="AH582" s="357">
        <f t="shared" ca="1" si="289"/>
        <v>-0.73091205262985404</v>
      </c>
    </row>
    <row r="583" spans="1:34" x14ac:dyDescent="0.25">
      <c r="A583" s="402">
        <f t="shared" ca="1" si="267"/>
        <v>0.1</v>
      </c>
      <c r="B583" s="357">
        <f t="shared" ca="1" si="268"/>
        <v>21.9</v>
      </c>
      <c r="C583" s="342"/>
      <c r="D583" s="359">
        <f t="shared" ca="1" si="269"/>
        <v>-0.41076623318931221</v>
      </c>
      <c r="E583" s="360">
        <f t="shared" ca="1" si="270"/>
        <v>-9.1791775930964032</v>
      </c>
      <c r="F583" s="357">
        <f t="shared" ca="1" si="271"/>
        <v>9.1883638469496631</v>
      </c>
      <c r="G583" s="359">
        <f t="shared" ca="1" si="272"/>
        <v>28.206367021168507</v>
      </c>
      <c r="H583" s="360">
        <f t="shared" ca="1" si="273"/>
        <v>-44.298115421459912</v>
      </c>
      <c r="I583" s="357">
        <f t="shared" ca="1" si="274"/>
        <v>52.515923017936629</v>
      </c>
      <c r="J583" s="359">
        <f t="shared" ca="1" si="275"/>
        <v>681.07781658899489</v>
      </c>
      <c r="K583" s="360">
        <f t="shared" ca="1" si="276"/>
        <v>1311.5169911172827</v>
      </c>
      <c r="L583" s="357">
        <f t="shared" ca="1" si="261"/>
        <v>1477.8172452096246</v>
      </c>
      <c r="M583" s="359">
        <f t="shared" ca="1" si="277"/>
        <v>-1.0037995133912965</v>
      </c>
      <c r="N583" s="357">
        <f t="shared" ca="1" si="278"/>
        <v>-57.513475594607051</v>
      </c>
      <c r="O583" s="343"/>
      <c r="P583" s="363">
        <f t="shared" ca="1" si="279"/>
        <v>23</v>
      </c>
      <c r="Q583" s="357">
        <f t="shared" ca="1" si="280"/>
        <v>0</v>
      </c>
      <c r="R583" s="359">
        <f t="shared" ca="1" si="281"/>
        <v>0</v>
      </c>
      <c r="S583" s="360">
        <f t="shared" ca="1" si="282"/>
        <v>8.6519999999999992</v>
      </c>
      <c r="T583" s="357">
        <f t="shared" ca="1" si="262"/>
        <v>84.87612</v>
      </c>
      <c r="U583" s="364">
        <f t="shared" ca="1" si="263"/>
        <v>0</v>
      </c>
      <c r="V583" s="359">
        <f t="shared" ca="1" si="264"/>
        <v>1.0742262831605738</v>
      </c>
      <c r="W583" s="357">
        <f t="shared" ca="1" si="265"/>
        <v>6.7059050209272977</v>
      </c>
      <c r="X583" s="343"/>
      <c r="Y583" s="367" t="str">
        <f t="shared" ca="1" si="283"/>
        <v/>
      </c>
      <c r="Z583" s="368" t="str">
        <f t="shared" ca="1" si="284"/>
        <v/>
      </c>
      <c r="AA583" s="369" t="str">
        <f t="shared" ca="1" si="285"/>
        <v/>
      </c>
      <c r="AB583" s="344"/>
      <c r="AC583" s="363" t="e">
        <f t="shared" ca="1" si="286"/>
        <v>#N/A</v>
      </c>
      <c r="AD583" s="376" t="e">
        <f t="shared" ca="1" si="287"/>
        <v>#N/A</v>
      </c>
      <c r="AE583" s="377" t="e">
        <f t="shared" ca="1" si="266"/>
        <v>#N/A</v>
      </c>
      <c r="AF583" s="344"/>
      <c r="AG583" s="359">
        <f t="shared" ca="1" si="288"/>
        <v>7.4680001278712949</v>
      </c>
      <c r="AH583" s="357">
        <f t="shared" ca="1" si="289"/>
        <v>-0.75277208196118928</v>
      </c>
    </row>
    <row r="584" spans="1:34" x14ac:dyDescent="0.25">
      <c r="A584" s="402">
        <f t="shared" ca="1" si="267"/>
        <v>0.1</v>
      </c>
      <c r="B584" s="357">
        <f t="shared" ca="1" si="268"/>
        <v>22</v>
      </c>
      <c r="C584" s="342"/>
      <c r="D584" s="359">
        <f t="shared" ca="1" si="269"/>
        <v>-0.41629101446798528</v>
      </c>
      <c r="E584" s="360">
        <f t="shared" ca="1" si="270"/>
        <v>-9.1562147254206909</v>
      </c>
      <c r="F584" s="357">
        <f t="shared" ca="1" si="271"/>
        <v>9.1656732598722659</v>
      </c>
      <c r="G584" s="359">
        <f t="shared" ca="1" si="272"/>
        <v>28.164737919721709</v>
      </c>
      <c r="H584" s="360">
        <f t="shared" ca="1" si="273"/>
        <v>-45.213736894001983</v>
      </c>
      <c r="I584" s="357">
        <f t="shared" ca="1" si="274"/>
        <v>53.268512894642043</v>
      </c>
      <c r="J584" s="359">
        <f t="shared" ca="1" si="275"/>
        <v>683.89637183603941</v>
      </c>
      <c r="K584" s="360">
        <f t="shared" ca="1" si="276"/>
        <v>1307.0413985015095</v>
      </c>
      <c r="L584" s="357">
        <f t="shared" ca="1" si="261"/>
        <v>1475.151336238855</v>
      </c>
      <c r="M584" s="359">
        <f t="shared" ca="1" si="277"/>
        <v>-1.0136910022540095</v>
      </c>
      <c r="N584" s="357">
        <f t="shared" ca="1" si="278"/>
        <v>-58.080216159541166</v>
      </c>
      <c r="O584" s="343"/>
      <c r="P584" s="363">
        <f t="shared" ca="1" si="279"/>
        <v>23</v>
      </c>
      <c r="Q584" s="357">
        <f t="shared" ca="1" si="280"/>
        <v>0</v>
      </c>
      <c r="R584" s="359">
        <f t="shared" ca="1" si="281"/>
        <v>0</v>
      </c>
      <c r="S584" s="360">
        <f t="shared" ca="1" si="282"/>
        <v>8.6519999999999992</v>
      </c>
      <c r="T584" s="357">
        <f t="shared" ca="1" si="262"/>
        <v>84.87612</v>
      </c>
      <c r="U584" s="364">
        <f t="shared" ca="1" si="263"/>
        <v>0</v>
      </c>
      <c r="V584" s="359">
        <f t="shared" ca="1" si="264"/>
        <v>1.0747092408825041</v>
      </c>
      <c r="W584" s="357">
        <f t="shared" ca="1" si="265"/>
        <v>6.9025847308648123</v>
      </c>
      <c r="X584" s="343"/>
      <c r="Y584" s="367" t="str">
        <f t="shared" ca="1" si="283"/>
        <v/>
      </c>
      <c r="Z584" s="368" t="str">
        <f t="shared" ca="1" si="284"/>
        <v/>
      </c>
      <c r="AA584" s="369" t="str">
        <f t="shared" ca="1" si="285"/>
        <v/>
      </c>
      <c r="AB584" s="344"/>
      <c r="AC584" s="363">
        <f t="shared" ca="1" si="286"/>
        <v>22</v>
      </c>
      <c r="AD584" s="376">
        <f t="shared" ca="1" si="287"/>
        <v>683.89637183603941</v>
      </c>
      <c r="AE584" s="377" t="e">
        <f t="shared" ca="1" si="266"/>
        <v>#N/A</v>
      </c>
      <c r="AF584" s="344"/>
      <c r="AG584" s="359">
        <f t="shared" ca="1" si="288"/>
        <v>7.499839609676787</v>
      </c>
      <c r="AH584" s="357">
        <f t="shared" ca="1" si="289"/>
        <v>-0.77506992844744549</v>
      </c>
    </row>
    <row r="585" spans="1:34" x14ac:dyDescent="0.25">
      <c r="A585" s="402">
        <f t="shared" ca="1" si="267"/>
        <v>0.1</v>
      </c>
      <c r="B585" s="357">
        <f t="shared" ca="1" si="268"/>
        <v>22.1</v>
      </c>
      <c r="C585" s="342"/>
      <c r="D585" s="359">
        <f t="shared" ca="1" si="269"/>
        <v>-0.42182311778142584</v>
      </c>
      <c r="E585" s="360">
        <f t="shared" ca="1" si="270"/>
        <v>-9.1328341226700314</v>
      </c>
      <c r="F585" s="357">
        <f t="shared" ca="1" si="271"/>
        <v>9.1425704183725554</v>
      </c>
      <c r="G585" s="359">
        <f t="shared" ca="1" si="272"/>
        <v>28.122555607943568</v>
      </c>
      <c r="H585" s="360">
        <f t="shared" ca="1" si="273"/>
        <v>-46.127020306268989</v>
      </c>
      <c r="I585" s="357">
        <f t="shared" ca="1" si="274"/>
        <v>54.023884868239804</v>
      </c>
      <c r="J585" s="359">
        <f t="shared" ca="1" si="275"/>
        <v>686.71073651242273</v>
      </c>
      <c r="K585" s="360">
        <f t="shared" ca="1" si="276"/>
        <v>1302.4743606414961</v>
      </c>
      <c r="L585" s="357">
        <f t="shared" ca="1" si="261"/>
        <v>1472.4167534261176</v>
      </c>
      <c r="M585" s="359">
        <f t="shared" ca="1" si="277"/>
        <v>-1.0232921910645059</v>
      </c>
      <c r="N585" s="357">
        <f t="shared" ca="1" si="278"/>
        <v>-58.630323756690835</v>
      </c>
      <c r="O585" s="343"/>
      <c r="P585" s="363">
        <f t="shared" ca="1" si="279"/>
        <v>23</v>
      </c>
      <c r="Q585" s="357">
        <f t="shared" ca="1" si="280"/>
        <v>0</v>
      </c>
      <c r="R585" s="359">
        <f t="shared" ca="1" si="281"/>
        <v>0</v>
      </c>
      <c r="S585" s="360">
        <f t="shared" ca="1" si="282"/>
        <v>8.6519999999999992</v>
      </c>
      <c r="T585" s="357">
        <f t="shared" ca="1" si="262"/>
        <v>84.87612</v>
      </c>
      <c r="U585" s="364">
        <f t="shared" ca="1" si="263"/>
        <v>0</v>
      </c>
      <c r="V585" s="359">
        <f t="shared" ca="1" si="264"/>
        <v>1.0752022755878783</v>
      </c>
      <c r="W585" s="357">
        <f t="shared" ca="1" si="265"/>
        <v>7.1029934645880344</v>
      </c>
      <c r="X585" s="343"/>
      <c r="Y585" s="367" t="str">
        <f t="shared" ca="1" si="283"/>
        <v/>
      </c>
      <c r="Z585" s="368" t="str">
        <f t="shared" ca="1" si="284"/>
        <v/>
      </c>
      <c r="AA585" s="369" t="str">
        <f t="shared" ca="1" si="285"/>
        <v/>
      </c>
      <c r="AB585" s="344"/>
      <c r="AC585" s="363" t="e">
        <f t="shared" ca="1" si="286"/>
        <v>#N/A</v>
      </c>
      <c r="AD585" s="376" t="e">
        <f t="shared" ca="1" si="287"/>
        <v>#N/A</v>
      </c>
      <c r="AE585" s="377" t="e">
        <f t="shared" ca="1" si="266"/>
        <v>#N/A</v>
      </c>
      <c r="AF585" s="344"/>
      <c r="AG585" s="359">
        <f t="shared" ca="1" si="288"/>
        <v>7.5288195552106636</v>
      </c>
      <c r="AH585" s="357">
        <f t="shared" ca="1" si="289"/>
        <v>-0.79780221114942362</v>
      </c>
    </row>
    <row r="586" spans="1:34" x14ac:dyDescent="0.25">
      <c r="A586" s="402">
        <f t="shared" ca="1" si="267"/>
        <v>0.1</v>
      </c>
      <c r="B586" s="357">
        <f t="shared" ca="1" si="268"/>
        <v>22.200000000000003</v>
      </c>
      <c r="C586" s="342"/>
      <c r="D586" s="359">
        <f t="shared" ca="1" si="269"/>
        <v>-0.42736000655369982</v>
      </c>
      <c r="E586" s="360">
        <f t="shared" ca="1" si="270"/>
        <v>-9.1090379688387344</v>
      </c>
      <c r="F586" s="357">
        <f t="shared" ca="1" si="271"/>
        <v>9.1190574783223788</v>
      </c>
      <c r="G586" s="359">
        <f t="shared" ca="1" si="272"/>
        <v>28.079819607288197</v>
      </c>
      <c r="H586" s="360">
        <f t="shared" ca="1" si="273"/>
        <v>-47.037924103152861</v>
      </c>
      <c r="I586" s="357">
        <f t="shared" ca="1" si="274"/>
        <v>54.781772270635933</v>
      </c>
      <c r="J586" s="359">
        <f t="shared" ca="1" si="275"/>
        <v>689.52085527318434</v>
      </c>
      <c r="K586" s="360">
        <f t="shared" ca="1" si="276"/>
        <v>1297.816113421025</v>
      </c>
      <c r="L586" s="357">
        <f t="shared" ca="1" si="261"/>
        <v>1469.6141242217016</v>
      </c>
      <c r="M586" s="359">
        <f t="shared" ca="1" si="277"/>
        <v>-1.0326141716089066</v>
      </c>
      <c r="N586" s="357">
        <f t="shared" ca="1" si="278"/>
        <v>-59.164433898588065</v>
      </c>
      <c r="O586" s="343"/>
      <c r="P586" s="363">
        <f t="shared" ca="1" si="279"/>
        <v>23</v>
      </c>
      <c r="Q586" s="357">
        <f t="shared" ca="1" si="280"/>
        <v>0</v>
      </c>
      <c r="R586" s="359">
        <f t="shared" ca="1" si="281"/>
        <v>0</v>
      </c>
      <c r="S586" s="360">
        <f t="shared" ca="1" si="282"/>
        <v>8.6519999999999992</v>
      </c>
      <c r="T586" s="357">
        <f t="shared" ca="1" si="262"/>
        <v>84.87612</v>
      </c>
      <c r="U586" s="364">
        <f t="shared" ca="1" si="263"/>
        <v>0</v>
      </c>
      <c r="V586" s="359">
        <f t="shared" ca="1" si="264"/>
        <v>1.0757053746286307</v>
      </c>
      <c r="W586" s="357">
        <f t="shared" ca="1" si="265"/>
        <v>7.3071010425869174</v>
      </c>
      <c r="X586" s="343"/>
      <c r="Y586" s="367" t="str">
        <f t="shared" ca="1" si="283"/>
        <v/>
      </c>
      <c r="Z586" s="368" t="str">
        <f t="shared" ca="1" si="284"/>
        <v/>
      </c>
      <c r="AA586" s="369" t="str">
        <f t="shared" ca="1" si="285"/>
        <v/>
      </c>
      <c r="AB586" s="344"/>
      <c r="AC586" s="363" t="e">
        <f t="shared" ca="1" si="286"/>
        <v>#N/A</v>
      </c>
      <c r="AD586" s="376" t="e">
        <f t="shared" ca="1" si="287"/>
        <v>#N/A</v>
      </c>
      <c r="AE586" s="377" t="e">
        <f t="shared" ca="1" si="266"/>
        <v>#N/A</v>
      </c>
      <c r="AF586" s="344"/>
      <c r="AG586" s="359">
        <f t="shared" ca="1" si="288"/>
        <v>7.5550717021876492</v>
      </c>
      <c r="AH586" s="357">
        <f t="shared" ca="1" si="289"/>
        <v>-0.8209654952135963</v>
      </c>
    </row>
    <row r="587" spans="1:34" x14ac:dyDescent="0.25">
      <c r="A587" s="402">
        <f t="shared" ca="1" si="267"/>
        <v>0.1</v>
      </c>
      <c r="B587" s="357">
        <f t="shared" ca="1" si="268"/>
        <v>22.300000000000004</v>
      </c>
      <c r="C587" s="342"/>
      <c r="D587" s="359">
        <f t="shared" ca="1" si="269"/>
        <v>-0.43289925386207967</v>
      </c>
      <c r="E587" s="360">
        <f t="shared" ca="1" si="270"/>
        <v>-9.0848285946185072</v>
      </c>
      <c r="F587" s="357">
        <f t="shared" ca="1" si="271"/>
        <v>9.0951367421052236</v>
      </c>
      <c r="G587" s="359">
        <f t="shared" ca="1" si="272"/>
        <v>28.036529681901989</v>
      </c>
      <c r="H587" s="360">
        <f t="shared" ca="1" si="273"/>
        <v>-47.946406962614709</v>
      </c>
      <c r="I587" s="357">
        <f t="shared" ca="1" si="274"/>
        <v>55.541920539614395</v>
      </c>
      <c r="J587" s="359">
        <f t="shared" ca="1" si="275"/>
        <v>692.32667273764389</v>
      </c>
      <c r="K587" s="360">
        <f t="shared" ca="1" si="276"/>
        <v>1293.0668968677367</v>
      </c>
      <c r="L587" s="357">
        <f t="shared" ca="1" si="261"/>
        <v>1466.7440886395741</v>
      </c>
      <c r="M587" s="359">
        <f t="shared" ca="1" si="277"/>
        <v>-1.0416675835679432</v>
      </c>
      <c r="N587" s="357">
        <f t="shared" ca="1" si="278"/>
        <v>-59.683156194034126</v>
      </c>
      <c r="O587" s="343"/>
      <c r="P587" s="363">
        <f t="shared" ca="1" si="279"/>
        <v>23</v>
      </c>
      <c r="Q587" s="357">
        <f t="shared" ca="1" si="280"/>
        <v>0</v>
      </c>
      <c r="R587" s="359">
        <f t="shared" ca="1" si="281"/>
        <v>0</v>
      </c>
      <c r="S587" s="360">
        <f t="shared" ca="1" si="282"/>
        <v>8.6519999999999992</v>
      </c>
      <c r="T587" s="357">
        <f t="shared" ca="1" si="262"/>
        <v>84.87612</v>
      </c>
      <c r="U587" s="364">
        <f t="shared" ca="1" si="263"/>
        <v>0</v>
      </c>
      <c r="V587" s="359">
        <f t="shared" ca="1" si="264"/>
        <v>1.0762185251344898</v>
      </c>
      <c r="W587" s="357">
        <f t="shared" ca="1" si="265"/>
        <v>7.514876829796088</v>
      </c>
      <c r="X587" s="343"/>
      <c r="Y587" s="367" t="str">
        <f t="shared" ca="1" si="283"/>
        <v/>
      </c>
      <c r="Z587" s="368" t="str">
        <f t="shared" ca="1" si="284"/>
        <v/>
      </c>
      <c r="AA587" s="369" t="str">
        <f t="shared" ca="1" si="285"/>
        <v/>
      </c>
      <c r="AB587" s="344"/>
      <c r="AC587" s="363" t="e">
        <f t="shared" ca="1" si="286"/>
        <v>#N/A</v>
      </c>
      <c r="AD587" s="376" t="e">
        <f t="shared" ca="1" si="287"/>
        <v>#N/A</v>
      </c>
      <c r="AE587" s="377" t="e">
        <f t="shared" ca="1" si="266"/>
        <v>#N/A</v>
      </c>
      <c r="AF587" s="344"/>
      <c r="AG587" s="359">
        <f t="shared" ca="1" si="288"/>
        <v>7.578720580929132</v>
      </c>
      <c r="AH587" s="357">
        <f t="shared" ca="1" si="289"/>
        <v>-0.84455629248577413</v>
      </c>
    </row>
    <row r="588" spans="1:34" x14ac:dyDescent="0.25">
      <c r="A588" s="402">
        <f t="shared" ca="1" si="267"/>
        <v>0.1</v>
      </c>
      <c r="B588" s="357">
        <f t="shared" ca="1" si="268"/>
        <v>22.400000000000006</v>
      </c>
      <c r="C588" s="342"/>
      <c r="D588" s="359">
        <f t="shared" ca="1" si="269"/>
        <v>-0.43843853666676635</v>
      </c>
      <c r="E588" s="360">
        <f t="shared" ca="1" si="270"/>
        <v>-9.0602084692497531</v>
      </c>
      <c r="F588" s="357">
        <f t="shared" ca="1" si="271"/>
        <v>9.0708106504710724</v>
      </c>
      <c r="G588" s="359">
        <f t="shared" ca="1" si="272"/>
        <v>27.992685828235313</v>
      </c>
      <c r="H588" s="360">
        <f t="shared" ca="1" si="273"/>
        <v>-48.852427809539684</v>
      </c>
      <c r="I588" s="357">
        <f t="shared" ca="1" si="274"/>
        <v>56.304086554748153</v>
      </c>
      <c r="J588" s="359">
        <f t="shared" ca="1" si="275"/>
        <v>695.12813351315071</v>
      </c>
      <c r="K588" s="360">
        <f t="shared" ca="1" si="276"/>
        <v>1288.226955129129</v>
      </c>
      <c r="L588" s="357">
        <f t="shared" ca="1" si="261"/>
        <v>1463.8072994498775</v>
      </c>
      <c r="M588" s="359">
        <f t="shared" ca="1" si="277"/>
        <v>-1.0504626283028964</v>
      </c>
      <c r="N588" s="357">
        <f t="shared" ca="1" si="278"/>
        <v>-60.187075137975704</v>
      </c>
      <c r="O588" s="343"/>
      <c r="P588" s="363">
        <f t="shared" ca="1" si="279"/>
        <v>23</v>
      </c>
      <c r="Q588" s="357">
        <f t="shared" ca="1" si="280"/>
        <v>0</v>
      </c>
      <c r="R588" s="359">
        <f t="shared" ca="1" si="281"/>
        <v>0</v>
      </c>
      <c r="S588" s="360">
        <f t="shared" ca="1" si="282"/>
        <v>8.6519999999999992</v>
      </c>
      <c r="T588" s="357">
        <f t="shared" ca="1" si="262"/>
        <v>84.87612</v>
      </c>
      <c r="U588" s="364">
        <f t="shared" ca="1" si="263"/>
        <v>0</v>
      </c>
      <c r="V588" s="359">
        <f t="shared" ca="1" si="264"/>
        <v>1.0767417140131568</v>
      </c>
      <c r="W588" s="357">
        <f t="shared" ca="1" si="265"/>
        <v>7.7262897414720637</v>
      </c>
      <c r="X588" s="343"/>
      <c r="Y588" s="367" t="str">
        <f t="shared" ca="1" si="283"/>
        <v/>
      </c>
      <c r="Z588" s="368" t="str">
        <f t="shared" ca="1" si="284"/>
        <v/>
      </c>
      <c r="AA588" s="369" t="str">
        <f t="shared" ca="1" si="285"/>
        <v/>
      </c>
      <c r="AB588" s="344"/>
      <c r="AC588" s="363" t="e">
        <f t="shared" ca="1" si="286"/>
        <v>#N/A</v>
      </c>
      <c r="AD588" s="376" t="e">
        <f t="shared" ca="1" si="287"/>
        <v>#N/A</v>
      </c>
      <c r="AE588" s="377" t="e">
        <f t="shared" ca="1" si="266"/>
        <v>#N/A</v>
      </c>
      <c r="AF588" s="344"/>
      <c r="AG588" s="359">
        <f t="shared" ca="1" si="288"/>
        <v>7.5998838946299108</v>
      </c>
      <c r="AH588" s="357">
        <f t="shared" ca="1" si="289"/>
        <v>-0.86857106215858626</v>
      </c>
    </row>
    <row r="589" spans="1:34" x14ac:dyDescent="0.25">
      <c r="A589" s="402">
        <f t="shared" ca="1" si="267"/>
        <v>0.1</v>
      </c>
      <c r="B589" s="357">
        <f t="shared" ca="1" si="268"/>
        <v>22.500000000000007</v>
      </c>
      <c r="C589" s="342"/>
      <c r="D589" s="359">
        <f t="shared" ca="1" si="269"/>
        <v>-0.44397563035672799</v>
      </c>
      <c r="E589" s="360">
        <f t="shared" ca="1" si="270"/>
        <v>-9.0351801929874256</v>
      </c>
      <c r="F589" s="357">
        <f t="shared" ca="1" si="271"/>
        <v>9.0460817750063995</v>
      </c>
      <c r="G589" s="359">
        <f t="shared" ca="1" si="272"/>
        <v>27.94828826519964</v>
      </c>
      <c r="H589" s="360">
        <f t="shared" ca="1" si="273"/>
        <v>-49.755945828838428</v>
      </c>
      <c r="I589" s="357">
        <f t="shared" ca="1" si="274"/>
        <v>57.06803800970382</v>
      </c>
      <c r="J589" s="359">
        <f t="shared" ca="1" si="275"/>
        <v>697.92518221782245</v>
      </c>
      <c r="K589" s="360">
        <f t="shared" ca="1" si="276"/>
        <v>1283.2965364472102</v>
      </c>
      <c r="L589" s="357">
        <f t="shared" ca="1" si="261"/>
        <v>1460.8044223752838</v>
      </c>
      <c r="M589" s="359">
        <f t="shared" ca="1" si="277"/>
        <v>-1.0590090832058048</v>
      </c>
      <c r="N589" s="357">
        <f t="shared" ca="1" si="278"/>
        <v>-60.67675093371124</v>
      </c>
      <c r="O589" s="343"/>
      <c r="P589" s="363">
        <f t="shared" ca="1" si="279"/>
        <v>23</v>
      </c>
      <c r="Q589" s="357">
        <f t="shared" ca="1" si="280"/>
        <v>0</v>
      </c>
      <c r="R589" s="359">
        <f t="shared" ca="1" si="281"/>
        <v>0</v>
      </c>
      <c r="S589" s="360">
        <f t="shared" ca="1" si="282"/>
        <v>8.6519999999999992</v>
      </c>
      <c r="T589" s="357">
        <f t="shared" ca="1" si="262"/>
        <v>84.87612</v>
      </c>
      <c r="U589" s="364">
        <f t="shared" ca="1" si="263"/>
        <v>0</v>
      </c>
      <c r="V589" s="359">
        <f t="shared" ca="1" si="264"/>
        <v>1.077274927950588</v>
      </c>
      <c r="W589" s="357">
        <f t="shared" ca="1" si="265"/>
        <v>7.9413082493295164</v>
      </c>
      <c r="X589" s="343"/>
      <c r="Y589" s="367" t="str">
        <f t="shared" ca="1" si="283"/>
        <v/>
      </c>
      <c r="Z589" s="368" t="str">
        <f t="shared" ca="1" si="284"/>
        <v/>
      </c>
      <c r="AA589" s="369" t="str">
        <f t="shared" ca="1" si="285"/>
        <v/>
      </c>
      <c r="AB589" s="344"/>
      <c r="AC589" s="363" t="e">
        <f t="shared" ca="1" si="286"/>
        <v>#N/A</v>
      </c>
      <c r="AD589" s="376" t="e">
        <f t="shared" ca="1" si="287"/>
        <v>#N/A</v>
      </c>
      <c r="AE589" s="377" t="e">
        <f t="shared" ca="1" si="266"/>
        <v>#N/A</v>
      </c>
      <c r="AF589" s="344"/>
      <c r="AG589" s="359">
        <f t="shared" ca="1" si="288"/>
        <v>7.6186728892408917</v>
      </c>
      <c r="AH589" s="357">
        <f t="shared" ca="1" si="289"/>
        <v>-0.8930062114507703</v>
      </c>
    </row>
    <row r="590" spans="1:34" x14ac:dyDescent="0.25">
      <c r="A590" s="402">
        <f t="shared" ca="1" si="267"/>
        <v>0.1</v>
      </c>
      <c r="B590" s="357">
        <f t="shared" ca="1" si="268"/>
        <v>22.600000000000009</v>
      </c>
      <c r="C590" s="342"/>
      <c r="D590" s="359">
        <f t="shared" ca="1" si="269"/>
        <v>-0.44950840360126376</v>
      </c>
      <c r="E590" s="360">
        <f t="shared" ca="1" si="270"/>
        <v>-9.009746490126151</v>
      </c>
      <c r="F590" s="357">
        <f t="shared" ca="1" si="271"/>
        <v>9.0209528111640545</v>
      </c>
      <c r="G590" s="359">
        <f t="shared" ca="1" si="272"/>
        <v>27.903337424839513</v>
      </c>
      <c r="H590" s="360">
        <f t="shared" ca="1" si="273"/>
        <v>-50.656920477851045</v>
      </c>
      <c r="I590" s="357">
        <f t="shared" ca="1" si="274"/>
        <v>57.833552819654564</v>
      </c>
      <c r="J590" s="359">
        <f t="shared" ca="1" si="275"/>
        <v>700.71776350232437</v>
      </c>
      <c r="K590" s="360">
        <f t="shared" ca="1" si="276"/>
        <v>1278.2758931318758</v>
      </c>
      <c r="L590" s="357">
        <f t="shared" ca="1" si="261"/>
        <v>1457.7361362914053</v>
      </c>
      <c r="M590" s="359">
        <f t="shared" ca="1" si="277"/>
        <v>-1.067316316405186</v>
      </c>
      <c r="N590" s="357">
        <f t="shared" ca="1" si="278"/>
        <v>-61.152720335466746</v>
      </c>
      <c r="O590" s="343"/>
      <c r="P590" s="363">
        <f t="shared" ca="1" si="279"/>
        <v>23</v>
      </c>
      <c r="Q590" s="357">
        <f t="shared" ca="1" si="280"/>
        <v>0</v>
      </c>
      <c r="R590" s="359">
        <f t="shared" ca="1" si="281"/>
        <v>0</v>
      </c>
      <c r="S590" s="360">
        <f t="shared" ca="1" si="282"/>
        <v>8.6519999999999992</v>
      </c>
      <c r="T590" s="357">
        <f t="shared" ca="1" si="262"/>
        <v>84.87612</v>
      </c>
      <c r="U590" s="364">
        <f t="shared" ca="1" si="263"/>
        <v>0</v>
      </c>
      <c r="V590" s="359">
        <f t="shared" ca="1" si="264"/>
        <v>1.0778181534113882</v>
      </c>
      <c r="W590" s="357">
        <f t="shared" ca="1" si="265"/>
        <v>8.1599003879216525</v>
      </c>
      <c r="X590" s="343"/>
      <c r="Y590" s="367" t="str">
        <f t="shared" ca="1" si="283"/>
        <v/>
      </c>
      <c r="Z590" s="368" t="str">
        <f t="shared" ca="1" si="284"/>
        <v/>
      </c>
      <c r="AA590" s="369" t="str">
        <f t="shared" ca="1" si="285"/>
        <v/>
      </c>
      <c r="AB590" s="344"/>
      <c r="AC590" s="363" t="e">
        <f t="shared" ca="1" si="286"/>
        <v>#N/A</v>
      </c>
      <c r="AD590" s="376" t="e">
        <f t="shared" ca="1" si="287"/>
        <v>#N/A</v>
      </c>
      <c r="AE590" s="377" t="e">
        <f t="shared" ca="1" si="266"/>
        <v>#N/A</v>
      </c>
      <c r="AF590" s="344"/>
      <c r="AG590" s="359">
        <f t="shared" ca="1" si="288"/>
        <v>7.6351927111760105</v>
      </c>
      <c r="AH590" s="357">
        <f t="shared" ca="1" si="289"/>
        <v>-0.91785809631640281</v>
      </c>
    </row>
    <row r="591" spans="1:34" x14ac:dyDescent="0.25">
      <c r="A591" s="402">
        <f t="shared" ca="1" si="267"/>
        <v>0.1</v>
      </c>
      <c r="B591" s="357">
        <f t="shared" ca="1" si="268"/>
        <v>22.70000000000001</v>
      </c>
      <c r="C591" s="342"/>
      <c r="D591" s="359">
        <f t="shared" ca="1" si="269"/>
        <v>-0.45503481349575459</v>
      </c>
      <c r="E591" s="360">
        <f t="shared" ca="1" si="270"/>
        <v>-8.9839102025341049</v>
      </c>
      <c r="F591" s="357">
        <f t="shared" ca="1" si="271"/>
        <v>8.9954265718024455</v>
      </c>
      <c r="G591" s="359">
        <f t="shared" ca="1" si="272"/>
        <v>27.857833943489936</v>
      </c>
      <c r="H591" s="360">
        <f t="shared" ca="1" si="273"/>
        <v>-51.555311498104459</v>
      </c>
      <c r="I591" s="357">
        <f t="shared" ca="1" si="274"/>
        <v>58.600418562409963</v>
      </c>
      <c r="J591" s="359">
        <f t="shared" ca="1" si="275"/>
        <v>703.50582207074081</v>
      </c>
      <c r="K591" s="360">
        <f t="shared" ca="1" si="276"/>
        <v>1273.1652815330781</v>
      </c>
      <c r="L591" s="357">
        <f t="shared" ca="1" si="261"/>
        <v>1454.603133431463</v>
      </c>
      <c r="M591" s="359">
        <f t="shared" ca="1" si="277"/>
        <v>-1.0753933016532677</v>
      </c>
      <c r="N591" s="357">
        <f t="shared" ca="1" si="278"/>
        <v>-61.615497501371259</v>
      </c>
      <c r="O591" s="343"/>
      <c r="P591" s="363">
        <f t="shared" ca="1" si="279"/>
        <v>23</v>
      </c>
      <c r="Q591" s="357">
        <f t="shared" ca="1" si="280"/>
        <v>0</v>
      </c>
      <c r="R591" s="359">
        <f t="shared" ca="1" si="281"/>
        <v>0</v>
      </c>
      <c r="S591" s="360">
        <f t="shared" ca="1" si="282"/>
        <v>8.6519999999999992</v>
      </c>
      <c r="T591" s="357">
        <f t="shared" ca="1" si="262"/>
        <v>84.87612</v>
      </c>
      <c r="U591" s="364">
        <f t="shared" ca="1" si="263"/>
        <v>0</v>
      </c>
      <c r="V591" s="359">
        <f t="shared" ca="1" si="264"/>
        <v>1.0783713766392904</v>
      </c>
      <c r="W591" s="357">
        <f t="shared" ca="1" si="265"/>
        <v>8.3820337612505948</v>
      </c>
      <c r="X591" s="343"/>
      <c r="Y591" s="367" t="str">
        <f t="shared" ca="1" si="283"/>
        <v/>
      </c>
      <c r="Z591" s="368" t="str">
        <f t="shared" ca="1" si="284"/>
        <v/>
      </c>
      <c r="AA591" s="369" t="str">
        <f t="shared" ca="1" si="285"/>
        <v/>
      </c>
      <c r="AB591" s="344"/>
      <c r="AC591" s="363" t="e">
        <f t="shared" ca="1" si="286"/>
        <v>#N/A</v>
      </c>
      <c r="AD591" s="376" t="e">
        <f t="shared" ca="1" si="287"/>
        <v>#N/A</v>
      </c>
      <c r="AE591" s="377" t="e">
        <f t="shared" ca="1" si="266"/>
        <v>#N/A</v>
      </c>
      <c r="AF591" s="344"/>
      <c r="AG591" s="359">
        <f t="shared" ca="1" si="288"/>
        <v>7.6495427515661012</v>
      </c>
      <c r="AH591" s="357">
        <f t="shared" ca="1" si="289"/>
        <v>-0.94312302218234545</v>
      </c>
    </row>
    <row r="592" spans="1:34" x14ac:dyDescent="0.25">
      <c r="A592" s="402">
        <f t="shared" ca="1" si="267"/>
        <v>0.1</v>
      </c>
      <c r="B592" s="357">
        <f t="shared" ca="1" si="268"/>
        <v>22.800000000000011</v>
      </c>
      <c r="C592" s="342"/>
      <c r="D592" s="359">
        <f t="shared" ca="1" si="269"/>
        <v>-0.46055290098929985</v>
      </c>
      <c r="E592" s="360">
        <f t="shared" ca="1" si="270"/>
        <v>-8.9576742836494763</v>
      </c>
      <c r="F592" s="357">
        <f t="shared" ca="1" si="271"/>
        <v>8.9695059811878615</v>
      </c>
      <c r="G592" s="359">
        <f t="shared" ca="1" si="272"/>
        <v>27.811778653391006</v>
      </c>
      <c r="H592" s="360">
        <f t="shared" ca="1" si="273"/>
        <v>-52.451078926469407</v>
      </c>
      <c r="I592" s="357">
        <f t="shared" ca="1" si="274"/>
        <v>59.368431951803636</v>
      </c>
      <c r="J592" s="359">
        <f t="shared" ca="1" si="275"/>
        <v>706.28930270058481</v>
      </c>
      <c r="K592" s="360">
        <f t="shared" ca="1" si="276"/>
        <v>1267.9649620118494</v>
      </c>
      <c r="L592" s="357">
        <f t="shared" ca="1" si="261"/>
        <v>1451.4061195954043</v>
      </c>
      <c r="M592" s="359">
        <f t="shared" ca="1" si="277"/>
        <v>-1.0832486332507838</v>
      </c>
      <c r="N592" s="357">
        <f t="shared" ca="1" si="278"/>
        <v>-62.065574848584689</v>
      </c>
      <c r="O592" s="343"/>
      <c r="P592" s="363">
        <f t="shared" ca="1" si="279"/>
        <v>23</v>
      </c>
      <c r="Q592" s="357">
        <f t="shared" ca="1" si="280"/>
        <v>0</v>
      </c>
      <c r="R592" s="359">
        <f t="shared" ca="1" si="281"/>
        <v>0</v>
      </c>
      <c r="S592" s="360">
        <f t="shared" ca="1" si="282"/>
        <v>8.6519999999999992</v>
      </c>
      <c r="T592" s="357">
        <f t="shared" ca="1" si="262"/>
        <v>84.87612</v>
      </c>
      <c r="U592" s="364">
        <f t="shared" ca="1" si="263"/>
        <v>0</v>
      </c>
      <c r="V592" s="359">
        <f t="shared" ca="1" si="264"/>
        <v>1.078934583657732</v>
      </c>
      <c r="W592" s="357">
        <f t="shared" ca="1" si="265"/>
        <v>8.6076755495947186</v>
      </c>
      <c r="X592" s="343"/>
      <c r="Y592" s="367" t="str">
        <f t="shared" ca="1" si="283"/>
        <v/>
      </c>
      <c r="Z592" s="368" t="str">
        <f t="shared" ca="1" si="284"/>
        <v/>
      </c>
      <c r="AA592" s="369" t="str">
        <f t="shared" ca="1" si="285"/>
        <v/>
      </c>
      <c r="AB592" s="344"/>
      <c r="AC592" s="363" t="e">
        <f t="shared" ca="1" si="286"/>
        <v>#N/A</v>
      </c>
      <c r="AD592" s="376" t="e">
        <f t="shared" ca="1" si="287"/>
        <v>#N/A</v>
      </c>
      <c r="AE592" s="377" t="e">
        <f t="shared" ca="1" si="266"/>
        <v>#N/A</v>
      </c>
      <c r="AF592" s="344"/>
      <c r="AG592" s="359">
        <f t="shared" ca="1" si="288"/>
        <v>7.6618169762043991</v>
      </c>
      <c r="AH592" s="357">
        <f t="shared" ca="1" si="289"/>
        <v>-0.96879724471227413</v>
      </c>
    </row>
    <row r="593" spans="1:34" x14ac:dyDescent="0.25">
      <c r="A593" s="402">
        <f t="shared" ca="1" si="267"/>
        <v>0.1</v>
      </c>
      <c r="B593" s="357">
        <f t="shared" ca="1" si="268"/>
        <v>22.900000000000013</v>
      </c>
      <c r="C593" s="342"/>
      <c r="D593" s="359">
        <f t="shared" ca="1" si="269"/>
        <v>-0.46606078658147071</v>
      </c>
      <c r="E593" s="360">
        <f t="shared" ca="1" si="270"/>
        <v>-8.9310417928974655</v>
      </c>
      <c r="F593" s="357">
        <f t="shared" ca="1" si="271"/>
        <v>8.9431940694178227</v>
      </c>
      <c r="G593" s="359">
        <f t="shared" ca="1" si="272"/>
        <v>27.765172574732858</v>
      </c>
      <c r="H593" s="360">
        <f t="shared" ca="1" si="273"/>
        <v>-53.34418310575915</v>
      </c>
      <c r="I593" s="357">
        <f t="shared" ca="1" si="274"/>
        <v>60.137398341842641</v>
      </c>
      <c r="J593" s="359">
        <f t="shared" ca="1" si="275"/>
        <v>709.06815026199104</v>
      </c>
      <c r="K593" s="360">
        <f t="shared" ca="1" si="276"/>
        <v>1262.6751989102379</v>
      </c>
      <c r="L593" s="357">
        <f t="shared" ca="1" si="261"/>
        <v>1448.1458143636539</v>
      </c>
      <c r="M593" s="359">
        <f t="shared" ca="1" si="277"/>
        <v>-1.0908905408912375</v>
      </c>
      <c r="N593" s="357">
        <f t="shared" ca="1" si="278"/>
        <v>-62.503423903811459</v>
      </c>
      <c r="O593" s="343"/>
      <c r="P593" s="363">
        <f t="shared" ca="1" si="279"/>
        <v>23</v>
      </c>
      <c r="Q593" s="357">
        <f t="shared" ca="1" si="280"/>
        <v>0</v>
      </c>
      <c r="R593" s="359">
        <f t="shared" ca="1" si="281"/>
        <v>0</v>
      </c>
      <c r="S593" s="360">
        <f t="shared" ca="1" si="282"/>
        <v>8.6519999999999992</v>
      </c>
      <c r="T593" s="357">
        <f t="shared" ca="1" si="262"/>
        <v>84.87612</v>
      </c>
      <c r="U593" s="364">
        <f t="shared" ca="1" si="263"/>
        <v>0</v>
      </c>
      <c r="V593" s="359">
        <f t="shared" ca="1" si="264"/>
        <v>1.0795077602705123</v>
      </c>
      <c r="W593" s="357">
        <f t="shared" ca="1" si="265"/>
        <v>8.8367925165405428</v>
      </c>
      <c r="X593" s="343"/>
      <c r="Y593" s="367" t="str">
        <f t="shared" ca="1" si="283"/>
        <v/>
      </c>
      <c r="Z593" s="368" t="str">
        <f t="shared" ca="1" si="284"/>
        <v/>
      </c>
      <c r="AA593" s="369" t="str">
        <f t="shared" ca="1" si="285"/>
        <v/>
      </c>
      <c r="AB593" s="344"/>
      <c r="AC593" s="363" t="e">
        <f t="shared" ca="1" si="286"/>
        <v>#N/A</v>
      </c>
      <c r="AD593" s="376" t="e">
        <f t="shared" ca="1" si="287"/>
        <v>#N/A</v>
      </c>
      <c r="AE593" s="377" t="e">
        <f t="shared" ca="1" si="266"/>
        <v>#N/A</v>
      </c>
      <c r="AF593" s="344"/>
      <c r="AG593" s="359">
        <f t="shared" ca="1" si="288"/>
        <v>7.6721042406712057</v>
      </c>
      <c r="AH593" s="357">
        <f t="shared" ca="1" si="289"/>
        <v>-0.99487697059578351</v>
      </c>
    </row>
    <row r="594" spans="1:34" x14ac:dyDescent="0.25">
      <c r="A594" s="402">
        <f t="shared" ca="1" si="267"/>
        <v>0.1</v>
      </c>
      <c r="B594" s="357">
        <f t="shared" ca="1" si="268"/>
        <v>23.000000000000014</v>
      </c>
      <c r="C594" s="342"/>
      <c r="D594" s="359">
        <f t="shared" ca="1" si="269"/>
        <v>-0.47155666627519538</v>
      </c>
      <c r="E594" s="360">
        <f t="shared" ca="1" si="270"/>
        <v>-8.9040158904894771</v>
      </c>
      <c r="F594" s="357">
        <f t="shared" ca="1" si="271"/>
        <v>8.9164939672271242</v>
      </c>
      <c r="G594" s="359">
        <f t="shared" ca="1" si="272"/>
        <v>27.718016908105337</v>
      </c>
      <c r="H594" s="360">
        <f t="shared" ca="1" si="273"/>
        <v>-54.234584694808099</v>
      </c>
      <c r="I594" s="357">
        <f t="shared" ca="1" si="274"/>
        <v>60.907131260110468</v>
      </c>
      <c r="J594" s="359">
        <f t="shared" ca="1" si="275"/>
        <v>711.84230973613296</v>
      </c>
      <c r="K594" s="360">
        <f t="shared" ca="1" si="276"/>
        <v>1257.2962605202094</v>
      </c>
      <c r="L594" s="357">
        <f t="shared" ca="1" si="261"/>
        <v>1444.822951315688</v>
      </c>
      <c r="M594" s="359">
        <f t="shared" ca="1" si="277"/>
        <v>-1.0983269043287256</v>
      </c>
      <c r="N594" s="357">
        <f t="shared" ca="1" si="278"/>
        <v>-62.929496143704924</v>
      </c>
      <c r="O594" s="343"/>
      <c r="P594" s="363">
        <f t="shared" ca="1" si="279"/>
        <v>23</v>
      </c>
      <c r="Q594" s="357">
        <f t="shared" ca="1" si="280"/>
        <v>0</v>
      </c>
      <c r="R594" s="359">
        <f t="shared" ca="1" si="281"/>
        <v>0</v>
      </c>
      <c r="S594" s="360">
        <f t="shared" ca="1" si="282"/>
        <v>8.6519999999999992</v>
      </c>
      <c r="T594" s="357">
        <f t="shared" ca="1" si="262"/>
        <v>84.87612</v>
      </c>
      <c r="U594" s="364">
        <f t="shared" ca="1" si="263"/>
        <v>0</v>
      </c>
      <c r="V594" s="359">
        <f t="shared" ca="1" si="264"/>
        <v>1.0800908920625296</v>
      </c>
      <c r="W594" s="357">
        <f t="shared" ca="1" si="265"/>
        <v>9.0693510162077029</v>
      </c>
      <c r="X594" s="343"/>
      <c r="Y594" s="367" t="str">
        <f t="shared" ca="1" si="283"/>
        <v/>
      </c>
      <c r="Z594" s="368" t="str">
        <f t="shared" ca="1" si="284"/>
        <v/>
      </c>
      <c r="AA594" s="369" t="str">
        <f t="shared" ca="1" si="285"/>
        <v/>
      </c>
      <c r="AB594" s="344"/>
      <c r="AC594" s="363">
        <f t="shared" ca="1" si="286"/>
        <v>23.000000000000014</v>
      </c>
      <c r="AD594" s="376">
        <f t="shared" ca="1" si="287"/>
        <v>711.84230973613296</v>
      </c>
      <c r="AE594" s="377" t="e">
        <f t="shared" ca="1" si="266"/>
        <v>#N/A</v>
      </c>
      <c r="AF594" s="344"/>
      <c r="AG594" s="359">
        <f t="shared" ca="1" si="288"/>
        <v>7.6804885904016782</v>
      </c>
      <c r="AH594" s="357">
        <f t="shared" ca="1" si="289"/>
        <v>-1.0213583583611354</v>
      </c>
    </row>
    <row r="595" spans="1:34" x14ac:dyDescent="0.25">
      <c r="A595" s="402">
        <f t="shared" ca="1" si="267"/>
        <v>0.1</v>
      </c>
      <c r="B595" s="357">
        <f t="shared" ca="1" si="268"/>
        <v>23.100000000000016</v>
      </c>
      <c r="C595" s="342"/>
      <c r="D595" s="359">
        <f t="shared" ca="1" si="269"/>
        <v>-0.47703880777275975</v>
      </c>
      <c r="E595" s="360">
        <f t="shared" ca="1" si="270"/>
        <v>-8.8765998325696778</v>
      </c>
      <c r="F595" s="357">
        <f t="shared" ca="1" si="271"/>
        <v>8.8894089011416995</v>
      </c>
      <c r="G595" s="359">
        <f t="shared" ca="1" si="272"/>
        <v>27.67031302732806</v>
      </c>
      <c r="H595" s="360">
        <f t="shared" ca="1" si="273"/>
        <v>-55.122244678065066</v>
      </c>
      <c r="I595" s="357">
        <f t="shared" ca="1" si="274"/>
        <v>61.677451968922917</v>
      </c>
      <c r="J595" s="359">
        <f t="shared" ca="1" si="275"/>
        <v>714.61172623290463</v>
      </c>
      <c r="K595" s="360">
        <f t="shared" ca="1" si="276"/>
        <v>1251.8284190515658</v>
      </c>
      <c r="L595" s="357">
        <f t="shared" ca="1" si="261"/>
        <v>1441.438278253604</v>
      </c>
      <c r="M595" s="359">
        <f t="shared" ca="1" si="277"/>
        <v>-1.10556526779235</v>
      </c>
      <c r="N595" s="357">
        <f t="shared" ca="1" si="278"/>
        <v>-63.344223820752298</v>
      </c>
      <c r="O595" s="343"/>
      <c r="P595" s="363">
        <f t="shared" ca="1" si="279"/>
        <v>23</v>
      </c>
      <c r="Q595" s="357">
        <f t="shared" ca="1" si="280"/>
        <v>0</v>
      </c>
      <c r="R595" s="359">
        <f t="shared" ca="1" si="281"/>
        <v>0</v>
      </c>
      <c r="S595" s="360">
        <f t="shared" ca="1" si="282"/>
        <v>8.6519999999999992</v>
      </c>
      <c r="T595" s="357">
        <f t="shared" ca="1" si="262"/>
        <v>84.87612</v>
      </c>
      <c r="U595" s="364">
        <f t="shared" ca="1" si="263"/>
        <v>0</v>
      </c>
      <c r="V595" s="359">
        <f t="shared" ca="1" si="264"/>
        <v>1.080683964400593</v>
      </c>
      <c r="W595" s="357">
        <f t="shared" ca="1" si="265"/>
        <v>9.3053170006560624</v>
      </c>
      <c r="X595" s="343"/>
      <c r="Y595" s="367" t="str">
        <f t="shared" ca="1" si="283"/>
        <v/>
      </c>
      <c r="Z595" s="368" t="str">
        <f t="shared" ca="1" si="284"/>
        <v/>
      </c>
      <c r="AA595" s="369" t="str">
        <f t="shared" ca="1" si="285"/>
        <v/>
      </c>
      <c r="AB595" s="344"/>
      <c r="AC595" s="363" t="e">
        <f t="shared" ca="1" si="286"/>
        <v>#N/A</v>
      </c>
      <c r="AD595" s="376" t="e">
        <f t="shared" ca="1" si="287"/>
        <v>#N/A</v>
      </c>
      <c r="AE595" s="377" t="e">
        <f t="shared" ca="1" si="266"/>
        <v>#N/A</v>
      </c>
      <c r="AF595" s="344"/>
      <c r="AG595" s="359">
        <f t="shared" ca="1" si="288"/>
        <v>7.6870495456807806</v>
      </c>
      <c r="AH595" s="357">
        <f t="shared" ca="1" si="289"/>
        <v>-1.0482375192103217</v>
      </c>
    </row>
    <row r="596" spans="1:34" x14ac:dyDescent="0.25">
      <c r="A596" s="402">
        <f t="shared" ca="1" si="267"/>
        <v>0.1</v>
      </c>
      <c r="B596" s="357">
        <f t="shared" ca="1" si="268"/>
        <v>23.200000000000017</v>
      </c>
      <c r="C596" s="342"/>
      <c r="D596" s="359">
        <f t="shared" ca="1" si="269"/>
        <v>-0.48250554690204811</v>
      </c>
      <c r="E596" s="360">
        <f t="shared" ca="1" si="270"/>
        <v>-8.8487969666772308</v>
      </c>
      <c r="F596" s="357">
        <f t="shared" ca="1" si="271"/>
        <v>8.8619421889486176</v>
      </c>
      <c r="G596" s="359">
        <f t="shared" ca="1" si="272"/>
        <v>27.622062472637854</v>
      </c>
      <c r="H596" s="360">
        <f t="shared" ca="1" si="273"/>
        <v>-56.00712437473279</v>
      </c>
      <c r="I596" s="357">
        <f t="shared" ca="1" si="274"/>
        <v>62.448189052758735</v>
      </c>
      <c r="J596" s="359">
        <f t="shared" ca="1" si="275"/>
        <v>717.37634500790296</v>
      </c>
      <c r="K596" s="360">
        <f t="shared" ca="1" si="276"/>
        <v>1246.271950598926</v>
      </c>
      <c r="L596" s="357">
        <f t="shared" ca="1" si="261"/>
        <v>1437.9925574308616</v>
      </c>
      <c r="M596" s="359">
        <f t="shared" ca="1" si="277"/>
        <v>-1.1126128540863927</v>
      </c>
      <c r="N596" s="357">
        <f t="shared" ca="1" si="278"/>
        <v>-63.74802077115519</v>
      </c>
      <c r="O596" s="343"/>
      <c r="P596" s="363">
        <f t="shared" ca="1" si="279"/>
        <v>23</v>
      </c>
      <c r="Q596" s="357">
        <f t="shared" ca="1" si="280"/>
        <v>0</v>
      </c>
      <c r="R596" s="359">
        <f t="shared" ca="1" si="281"/>
        <v>0</v>
      </c>
      <c r="S596" s="360">
        <f t="shared" ca="1" si="282"/>
        <v>8.6519999999999992</v>
      </c>
      <c r="T596" s="357">
        <f t="shared" ca="1" si="262"/>
        <v>84.87612</v>
      </c>
      <c r="U596" s="364">
        <f t="shared" ca="1" si="263"/>
        <v>0</v>
      </c>
      <c r="V596" s="359">
        <f t="shared" ca="1" si="264"/>
        <v>1.0812869624343062</v>
      </c>
      <c r="W596" s="357">
        <f t="shared" ca="1" si="265"/>
        <v>9.544656027464713</v>
      </c>
      <c r="X596" s="343"/>
      <c r="Y596" s="367" t="str">
        <f t="shared" ca="1" si="283"/>
        <v/>
      </c>
      <c r="Z596" s="368" t="str">
        <f t="shared" ca="1" si="284"/>
        <v/>
      </c>
      <c r="AA596" s="369" t="str">
        <f t="shared" ca="1" si="285"/>
        <v/>
      </c>
      <c r="AB596" s="344"/>
      <c r="AC596" s="363" t="e">
        <f t="shared" ca="1" si="286"/>
        <v>#N/A</v>
      </c>
      <c r="AD596" s="376" t="e">
        <f t="shared" ca="1" si="287"/>
        <v>#N/A</v>
      </c>
      <c r="AE596" s="377" t="e">
        <f t="shared" ca="1" si="266"/>
        <v>#N/A</v>
      </c>
      <c r="AF596" s="344"/>
      <c r="AG596" s="359">
        <f t="shared" ca="1" si="288"/>
        <v>7.6918623717228325</v>
      </c>
      <c r="AH596" s="357">
        <f t="shared" ca="1" si="289"/>
        <v>-1.0755105178751807</v>
      </c>
    </row>
    <row r="597" spans="1:34" x14ac:dyDescent="0.25">
      <c r="A597" s="402">
        <f t="shared" ca="1" si="267"/>
        <v>0.1</v>
      </c>
      <c r="B597" s="357">
        <f t="shared" ca="1" si="268"/>
        <v>23.300000000000018</v>
      </c>
      <c r="C597" s="342"/>
      <c r="D597" s="359">
        <f t="shared" ca="1" si="269"/>
        <v>-0.48795528426037871</v>
      </c>
      <c r="E597" s="360">
        <f t="shared" ca="1" si="270"/>
        <v>-8.8206107274954242</v>
      </c>
      <c r="F597" s="357">
        <f t="shared" ca="1" si="271"/>
        <v>8.8340972354533758</v>
      </c>
      <c r="G597" s="359">
        <f t="shared" ca="1" si="272"/>
        <v>27.573266944211817</v>
      </c>
      <c r="H597" s="360">
        <f t="shared" ca="1" si="273"/>
        <v>-56.889185447482333</v>
      </c>
      <c r="I597" s="357">
        <f t="shared" ca="1" si="274"/>
        <v>63.219178030521718</v>
      </c>
      <c r="J597" s="359">
        <f t="shared" ca="1" si="275"/>
        <v>720.13611147874542</v>
      </c>
      <c r="K597" s="360">
        <f t="shared" ca="1" si="276"/>
        <v>1240.6271351078153</v>
      </c>
      <c r="L597" s="357">
        <f t="shared" ca="1" si="261"/>
        <v>1434.4865657863629</v>
      </c>
      <c r="M597" s="359">
        <f t="shared" ca="1" si="277"/>
        <v>-1.1194765783290916</v>
      </c>
      <c r="N597" s="357">
        <f t="shared" ca="1" si="278"/>
        <v>-64.141283202003464</v>
      </c>
      <c r="O597" s="343"/>
      <c r="P597" s="363">
        <f t="shared" ca="1" si="279"/>
        <v>23</v>
      </c>
      <c r="Q597" s="357">
        <f t="shared" ca="1" si="280"/>
        <v>0</v>
      </c>
      <c r="R597" s="359">
        <f t="shared" ca="1" si="281"/>
        <v>0</v>
      </c>
      <c r="S597" s="360">
        <f t="shared" ca="1" si="282"/>
        <v>8.6519999999999992</v>
      </c>
      <c r="T597" s="357">
        <f t="shared" ca="1" si="262"/>
        <v>84.87612</v>
      </c>
      <c r="U597" s="364">
        <f t="shared" ca="1" si="263"/>
        <v>0</v>
      </c>
      <c r="V597" s="359">
        <f t="shared" ca="1" si="264"/>
        <v>1.0818998710970162</v>
      </c>
      <c r="W597" s="357">
        <f t="shared" ca="1" si="265"/>
        <v>9.7873332674731746</v>
      </c>
      <c r="X597" s="343"/>
      <c r="Y597" s="367" t="str">
        <f t="shared" ca="1" si="283"/>
        <v/>
      </c>
      <c r="Z597" s="368" t="str">
        <f t="shared" ca="1" si="284"/>
        <v/>
      </c>
      <c r="AA597" s="369" t="str">
        <f t="shared" ca="1" si="285"/>
        <v/>
      </c>
      <c r="AB597" s="344"/>
      <c r="AC597" s="363" t="e">
        <f t="shared" ca="1" si="286"/>
        <v>#N/A</v>
      </c>
      <c r="AD597" s="376" t="e">
        <f t="shared" ca="1" si="287"/>
        <v>#N/A</v>
      </c>
      <c r="AE597" s="377" t="e">
        <f t="shared" ca="1" si="266"/>
        <v>#N/A</v>
      </c>
      <c r="AF597" s="344"/>
      <c r="AG597" s="359">
        <f t="shared" ca="1" si="288"/>
        <v>7.6949983341272912</v>
      </c>
      <c r="AH597" s="357">
        <f t="shared" ca="1" si="289"/>
        <v>-1.1031733734933789</v>
      </c>
    </row>
    <row r="598" spans="1:34" x14ac:dyDescent="0.25">
      <c r="A598" s="402">
        <f t="shared" ca="1" si="267"/>
        <v>0.1</v>
      </c>
      <c r="B598" s="357">
        <f t="shared" ca="1" si="268"/>
        <v>23.40000000000002</v>
      </c>
      <c r="C598" s="342"/>
      <c r="D598" s="359">
        <f t="shared" ca="1" si="269"/>
        <v>-0.49338648206364583</v>
      </c>
      <c r="E598" s="360">
        <f t="shared" ca="1" si="270"/>
        <v>-8.7920446328616215</v>
      </c>
      <c r="F598" s="357">
        <f t="shared" ca="1" si="271"/>
        <v>8.805877528498451</v>
      </c>
      <c r="G598" s="359">
        <f t="shared" ca="1" si="272"/>
        <v>27.523928296005451</v>
      </c>
      <c r="H598" s="360">
        <f t="shared" ca="1" si="273"/>
        <v>-57.768389910768498</v>
      </c>
      <c r="I598" s="357">
        <f t="shared" ca="1" si="274"/>
        <v>63.990260991233889</v>
      </c>
      <c r="J598" s="359">
        <f t="shared" ca="1" si="275"/>
        <v>722.89097124075624</v>
      </c>
      <c r="K598" s="360">
        <f t="shared" ca="1" si="276"/>
        <v>1234.8942563399028</v>
      </c>
      <c r="L598" s="357">
        <f t="shared" ca="1" si="261"/>
        <v>1430.9210951840375</v>
      </c>
      <c r="M598" s="359">
        <f t="shared" ca="1" si="277"/>
        <v>-1.1261630612944193</v>
      </c>
      <c r="N598" s="357">
        <f t="shared" ca="1" si="278"/>
        <v>-64.524390455702857</v>
      </c>
      <c r="O598" s="343"/>
      <c r="P598" s="363">
        <f t="shared" ca="1" si="279"/>
        <v>23</v>
      </c>
      <c r="Q598" s="357">
        <f t="shared" ca="1" si="280"/>
        <v>0</v>
      </c>
      <c r="R598" s="359">
        <f t="shared" ca="1" si="281"/>
        <v>0</v>
      </c>
      <c r="S598" s="360">
        <f t="shared" ca="1" si="282"/>
        <v>8.6519999999999992</v>
      </c>
      <c r="T598" s="357">
        <f t="shared" ca="1" si="262"/>
        <v>84.87612</v>
      </c>
      <c r="U598" s="364">
        <f t="shared" ca="1" si="263"/>
        <v>0</v>
      </c>
      <c r="V598" s="359">
        <f t="shared" ca="1" si="264"/>
        <v>1.0825226751068247</v>
      </c>
      <c r="W598" s="357">
        <f t="shared" ca="1" si="265"/>
        <v>10.033313512675543</v>
      </c>
      <c r="X598" s="343"/>
      <c r="Y598" s="367" t="str">
        <f t="shared" ca="1" si="283"/>
        <v/>
      </c>
      <c r="Z598" s="368" t="str">
        <f t="shared" ca="1" si="284"/>
        <v/>
      </c>
      <c r="AA598" s="369" t="str">
        <f t="shared" ca="1" si="285"/>
        <v/>
      </c>
      <c r="AB598" s="344"/>
      <c r="AC598" s="363" t="e">
        <f t="shared" ca="1" si="286"/>
        <v>#N/A</v>
      </c>
      <c r="AD598" s="376" t="e">
        <f t="shared" ca="1" si="287"/>
        <v>#N/A</v>
      </c>
      <c r="AE598" s="377" t="e">
        <f t="shared" ca="1" si="266"/>
        <v>#N/A</v>
      </c>
      <c r="AF598" s="344"/>
      <c r="AG598" s="359">
        <f t="shared" ca="1" si="288"/>
        <v>7.6965249401042328</v>
      </c>
      <c r="AH598" s="357">
        <f t="shared" ca="1" si="289"/>
        <v>-1.1312220605031409</v>
      </c>
    </row>
    <row r="599" spans="1:34" x14ac:dyDescent="0.25">
      <c r="A599" s="402">
        <f t="shared" ca="1" si="267"/>
        <v>0.1</v>
      </c>
      <c r="B599" s="357">
        <f t="shared" ca="1" si="268"/>
        <v>23.500000000000021</v>
      </c>
      <c r="C599" s="342"/>
      <c r="D599" s="359">
        <f t="shared" ca="1" si="269"/>
        <v>-0.49879766118886737</v>
      </c>
      <c r="E599" s="360">
        <f t="shared" ca="1" si="270"/>
        <v>-8.763102280014305</v>
      </c>
      <c r="F599" s="357">
        <f t="shared" ca="1" si="271"/>
        <v>8.7772866352193031</v>
      </c>
      <c r="G599" s="359">
        <f t="shared" ca="1" si="272"/>
        <v>27.474048529886563</v>
      </c>
      <c r="H599" s="360">
        <f t="shared" ca="1" si="273"/>
        <v>-58.644700138769927</v>
      </c>
      <c r="I599" s="357">
        <f t="shared" ca="1" si="274"/>
        <v>64.761286251809437</v>
      </c>
      <c r="J599" s="359">
        <f t="shared" ca="1" si="275"/>
        <v>725.64087008205081</v>
      </c>
      <c r="K599" s="360">
        <f t="shared" ca="1" si="276"/>
        <v>1229.0736018374259</v>
      </c>
      <c r="L599" s="357">
        <f t="shared" ca="1" si="261"/>
        <v>1427.2969526580862</v>
      </c>
      <c r="M599" s="359">
        <f t="shared" ca="1" si="277"/>
        <v>-1.1326786423309667</v>
      </c>
      <c r="N599" s="357">
        <f t="shared" ca="1" si="278"/>
        <v>-64.897705750172506</v>
      </c>
      <c r="O599" s="343"/>
      <c r="P599" s="363">
        <f t="shared" ca="1" si="279"/>
        <v>23</v>
      </c>
      <c r="Q599" s="357">
        <f t="shared" ca="1" si="280"/>
        <v>0</v>
      </c>
      <c r="R599" s="359">
        <f t="shared" ca="1" si="281"/>
        <v>0</v>
      </c>
      <c r="S599" s="360">
        <f t="shared" ca="1" si="282"/>
        <v>8.6519999999999992</v>
      </c>
      <c r="T599" s="357">
        <f t="shared" ca="1" si="262"/>
        <v>84.87612</v>
      </c>
      <c r="U599" s="364">
        <f t="shared" ca="1" si="263"/>
        <v>0</v>
      </c>
      <c r="V599" s="359">
        <f t="shared" ca="1" si="264"/>
        <v>1.083155358967663</v>
      </c>
      <c r="W599" s="357">
        <f t="shared" ca="1" si="265"/>
        <v>10.282561184258912</v>
      </c>
      <c r="X599" s="343"/>
      <c r="Y599" s="367" t="str">
        <f t="shared" ca="1" si="283"/>
        <v/>
      </c>
      <c r="Z599" s="368" t="str">
        <f t="shared" ca="1" si="284"/>
        <v/>
      </c>
      <c r="AA599" s="369" t="str">
        <f t="shared" ca="1" si="285"/>
        <v/>
      </c>
      <c r="AB599" s="344"/>
      <c r="AC599" s="363" t="e">
        <f t="shared" ca="1" si="286"/>
        <v>#N/A</v>
      </c>
      <c r="AD599" s="376" t="e">
        <f t="shared" ca="1" si="287"/>
        <v>#N/A</v>
      </c>
      <c r="AE599" s="377" t="e">
        <f t="shared" ca="1" si="266"/>
        <v>#N/A</v>
      </c>
      <c r="AF599" s="344"/>
      <c r="AG599" s="359">
        <f t="shared" ca="1" si="288"/>
        <v>7.6965061659383087</v>
      </c>
      <c r="AH599" s="357">
        <f t="shared" ca="1" si="289"/>
        <v>-1.1596525095556569</v>
      </c>
    </row>
    <row r="600" spans="1:34" x14ac:dyDescent="0.25">
      <c r="A600" s="402">
        <f t="shared" ca="1" si="267"/>
        <v>0.1</v>
      </c>
      <c r="B600" s="357">
        <f t="shared" ca="1" si="268"/>
        <v>23.600000000000023</v>
      </c>
      <c r="C600" s="342"/>
      <c r="D600" s="359">
        <f t="shared" ca="1" si="269"/>
        <v>-0.50418739839870286</v>
      </c>
      <c r="E600" s="360">
        <f t="shared" ca="1" si="270"/>
        <v>-8.7337873420557521</v>
      </c>
      <c r="F600" s="357">
        <f t="shared" ca="1" si="271"/>
        <v>8.7483281985164076</v>
      </c>
      <c r="G600" s="359">
        <f t="shared" ca="1" si="272"/>
        <v>27.423629790046693</v>
      </c>
      <c r="H600" s="360">
        <f t="shared" ca="1" si="273"/>
        <v>-59.518078872975501</v>
      </c>
      <c r="I600" s="357">
        <f t="shared" ca="1" si="274"/>
        <v>65.532108035613106</v>
      </c>
      <c r="J600" s="359">
        <f t="shared" ca="1" si="275"/>
        <v>728.38575399804745</v>
      </c>
      <c r="K600" s="360">
        <f t="shared" ca="1" si="276"/>
        <v>1223.1654628868387</v>
      </c>
      <c r="L600" s="357">
        <f t="shared" ca="1" si="261"/>
        <v>1423.6149606640408</v>
      </c>
      <c r="M600" s="359">
        <f t="shared" ca="1" si="277"/>
        <v>-1.1390293918401708</v>
      </c>
      <c r="N600" s="357">
        <f t="shared" ca="1" si="278"/>
        <v>-65.261576893794683</v>
      </c>
      <c r="O600" s="343"/>
      <c r="P600" s="363">
        <f t="shared" ca="1" si="279"/>
        <v>23</v>
      </c>
      <c r="Q600" s="357">
        <f t="shared" ca="1" si="280"/>
        <v>0</v>
      </c>
      <c r="R600" s="359">
        <f t="shared" ca="1" si="281"/>
        <v>0</v>
      </c>
      <c r="S600" s="360">
        <f t="shared" ca="1" si="282"/>
        <v>8.6519999999999992</v>
      </c>
      <c r="T600" s="357">
        <f t="shared" ca="1" si="262"/>
        <v>84.87612</v>
      </c>
      <c r="U600" s="364">
        <f t="shared" ca="1" si="263"/>
        <v>0</v>
      </c>
      <c r="V600" s="359">
        <f t="shared" ca="1" si="264"/>
        <v>1.0837979069704184</v>
      </c>
      <c r="W600" s="357">
        <f t="shared" ca="1" si="265"/>
        <v>10.535040340777698</v>
      </c>
      <c r="X600" s="343"/>
      <c r="Y600" s="367" t="str">
        <f t="shared" ca="1" si="283"/>
        <v/>
      </c>
      <c r="Z600" s="368" t="str">
        <f t="shared" ca="1" si="284"/>
        <v/>
      </c>
      <c r="AA600" s="369" t="str">
        <f t="shared" ca="1" si="285"/>
        <v/>
      </c>
      <c r="AB600" s="344"/>
      <c r="AC600" s="363" t="e">
        <f t="shared" ca="1" si="286"/>
        <v>#N/A</v>
      </c>
      <c r="AD600" s="376" t="e">
        <f t="shared" ca="1" si="287"/>
        <v>#N/A</v>
      </c>
      <c r="AE600" s="377" t="e">
        <f t="shared" ca="1" si="266"/>
        <v>#N/A</v>
      </c>
      <c r="AF600" s="344"/>
      <c r="AG600" s="359">
        <f t="shared" ca="1" si="288"/>
        <v>7.6950026712132695</v>
      </c>
      <c r="AH600" s="357">
        <f t="shared" ca="1" si="289"/>
        <v>-1.1884606084441647</v>
      </c>
    </row>
    <row r="601" spans="1:34" x14ac:dyDescent="0.25">
      <c r="A601" s="402">
        <f t="shared" ca="1" si="267"/>
        <v>0.1</v>
      </c>
      <c r="B601" s="357">
        <f t="shared" ca="1" si="268"/>
        <v>23.700000000000024</v>
      </c>
      <c r="C601" s="342"/>
      <c r="D601" s="359">
        <f t="shared" ca="1" si="269"/>
        <v>-0.50955432373697951</v>
      </c>
      <c r="E601" s="360">
        <f t="shared" ca="1" si="270"/>
        <v>-8.7041035646108913</v>
      </c>
      <c r="F601" s="357">
        <f t="shared" ca="1" si="271"/>
        <v>8.7190059337238139</v>
      </c>
      <c r="G601" s="359">
        <f t="shared" ca="1" si="272"/>
        <v>27.372674357672995</v>
      </c>
      <c r="H601" s="360">
        <f t="shared" ca="1" si="273"/>
        <v>-60.388489229436587</v>
      </c>
      <c r="I601" s="357">
        <f t="shared" ca="1" si="274"/>
        <v>66.302586170563416</v>
      </c>
      <c r="J601" s="359">
        <f t="shared" ca="1" si="275"/>
        <v>731.12556920543341</v>
      </c>
      <c r="K601" s="360">
        <f t="shared" ca="1" si="276"/>
        <v>1217.1701344817182</v>
      </c>
      <c r="L601" s="357">
        <f t="shared" ca="1" si="261"/>
        <v>1419.8759573357852</v>
      </c>
      <c r="M601" s="359">
        <f t="shared" ca="1" si="277"/>
        <v>-1.1452211233028788</v>
      </c>
      <c r="N601" s="357">
        <f t="shared" ca="1" si="278"/>
        <v>-65.616336974486217</v>
      </c>
      <c r="O601" s="343"/>
      <c r="P601" s="363">
        <f t="shared" ca="1" si="279"/>
        <v>23</v>
      </c>
      <c r="Q601" s="357">
        <f t="shared" ca="1" si="280"/>
        <v>0</v>
      </c>
      <c r="R601" s="359">
        <f t="shared" ca="1" si="281"/>
        <v>0</v>
      </c>
      <c r="S601" s="360">
        <f t="shared" ca="1" si="282"/>
        <v>8.6519999999999992</v>
      </c>
      <c r="T601" s="357">
        <f t="shared" ca="1" si="262"/>
        <v>84.87612</v>
      </c>
      <c r="U601" s="364">
        <f t="shared" ca="1" si="263"/>
        <v>0</v>
      </c>
      <c r="V601" s="359">
        <f t="shared" ca="1" si="264"/>
        <v>1.0844503031941184</v>
      </c>
      <c r="W601" s="357">
        <f t="shared" ca="1" si="265"/>
        <v>10.79071468645594</v>
      </c>
      <c r="X601" s="343"/>
      <c r="Y601" s="367" t="str">
        <f t="shared" ca="1" si="283"/>
        <v/>
      </c>
      <c r="Z601" s="368" t="str">
        <f t="shared" ca="1" si="284"/>
        <v/>
      </c>
      <c r="AA601" s="369" t="str">
        <f t="shared" ca="1" si="285"/>
        <v/>
      </c>
      <c r="AB601" s="344"/>
      <c r="AC601" s="363" t="e">
        <f t="shared" ca="1" si="286"/>
        <v>#N/A</v>
      </c>
      <c r="AD601" s="376" t="e">
        <f t="shared" ca="1" si="287"/>
        <v>#N/A</v>
      </c>
      <c r="AE601" s="377" t="e">
        <f t="shared" ca="1" si="266"/>
        <v>#N/A</v>
      </c>
      <c r="AF601" s="344"/>
      <c r="AG601" s="359">
        <f t="shared" ca="1" si="288"/>
        <v>7.6920720003549867</v>
      </c>
      <c r="AH601" s="357">
        <f t="shared" ca="1" si="289"/>
        <v>-1.2176422030487402</v>
      </c>
    </row>
    <row r="602" spans="1:34" x14ac:dyDescent="0.25">
      <c r="A602" s="402">
        <f t="shared" ca="1" si="267"/>
        <v>0.1</v>
      </c>
      <c r="B602" s="357">
        <f t="shared" ca="1" si="268"/>
        <v>23.800000000000026</v>
      </c>
      <c r="C602" s="342"/>
      <c r="D602" s="359">
        <f t="shared" ca="1" si="269"/>
        <v>-0.51489711808477157</v>
      </c>
      <c r="E602" s="360">
        <f t="shared" ca="1" si="270"/>
        <v>-8.6740547626646478</v>
      </c>
      <c r="F602" s="357">
        <f t="shared" ca="1" si="271"/>
        <v>8.6893236254565451</v>
      </c>
      <c r="G602" s="359">
        <f t="shared" ca="1" si="272"/>
        <v>27.32118464586452</v>
      </c>
      <c r="H602" s="360">
        <f t="shared" ca="1" si="273"/>
        <v>-61.255894705703049</v>
      </c>
      <c r="I602" s="357">
        <f t="shared" ca="1" si="274"/>
        <v>67.072585805600198</v>
      </c>
      <c r="J602" s="359">
        <f t="shared" ca="1" si="275"/>
        <v>733.86026215561026</v>
      </c>
      <c r="K602" s="360">
        <f t="shared" ca="1" si="276"/>
        <v>1211.0879152849611</v>
      </c>
      <c r="L602" s="357">
        <f t="shared" ca="1" si="261"/>
        <v>1416.0807967486792</v>
      </c>
      <c r="M602" s="359">
        <f t="shared" ca="1" si="277"/>
        <v>-1.151259404848836</v>
      </c>
      <c r="N602" s="357">
        <f t="shared" ca="1" si="278"/>
        <v>-65.96230502258129</v>
      </c>
      <c r="O602" s="343"/>
      <c r="P602" s="363">
        <f t="shared" ca="1" si="279"/>
        <v>23</v>
      </c>
      <c r="Q602" s="357">
        <f t="shared" ca="1" si="280"/>
        <v>0</v>
      </c>
      <c r="R602" s="359">
        <f t="shared" ca="1" si="281"/>
        <v>0</v>
      </c>
      <c r="S602" s="360">
        <f t="shared" ca="1" si="282"/>
        <v>8.6519999999999992</v>
      </c>
      <c r="T602" s="357">
        <f t="shared" ca="1" si="262"/>
        <v>84.87612</v>
      </c>
      <c r="U602" s="364">
        <f t="shared" ca="1" si="263"/>
        <v>0</v>
      </c>
      <c r="V602" s="359">
        <f t="shared" ca="1" si="264"/>
        <v>1.0851125315071666</v>
      </c>
      <c r="W602" s="357">
        <f t="shared" ca="1" si="265"/>
        <v>11.04954757961004</v>
      </c>
      <c r="X602" s="343"/>
      <c r="Y602" s="367" t="str">
        <f t="shared" ca="1" si="283"/>
        <v/>
      </c>
      <c r="Z602" s="368" t="str">
        <f t="shared" ca="1" si="284"/>
        <v/>
      </c>
      <c r="AA602" s="369" t="str">
        <f t="shared" ca="1" si="285"/>
        <v/>
      </c>
      <c r="AB602" s="344"/>
      <c r="AC602" s="363" t="e">
        <f t="shared" ca="1" si="286"/>
        <v>#N/A</v>
      </c>
      <c r="AD602" s="376" t="e">
        <f t="shared" ca="1" si="287"/>
        <v>#N/A</v>
      </c>
      <c r="AE602" s="377" t="e">
        <f t="shared" ca="1" si="266"/>
        <v>#N/A</v>
      </c>
      <c r="AF602" s="344"/>
      <c r="AG602" s="359">
        <f t="shared" ca="1" si="288"/>
        <v>7.6877687720721246</v>
      </c>
      <c r="AH602" s="357">
        <f t="shared" ca="1" si="289"/>
        <v>-1.2471930982958785</v>
      </c>
    </row>
    <row r="603" spans="1:34" x14ac:dyDescent="0.25">
      <c r="A603" s="402">
        <f t="shared" ca="1" si="267"/>
        <v>0.1</v>
      </c>
      <c r="B603" s="357">
        <f t="shared" ca="1" si="268"/>
        <v>23.900000000000027</v>
      </c>
      <c r="C603" s="342"/>
      <c r="D603" s="359">
        <f t="shared" ca="1" si="269"/>
        <v>-0.52021451086709558</v>
      </c>
      <c r="E603" s="360">
        <f t="shared" ca="1" si="270"/>
        <v>-8.643644817561853</v>
      </c>
      <c r="F603" s="357">
        <f t="shared" ca="1" si="271"/>
        <v>8.6592851246208866</v>
      </c>
      <c r="G603" s="359">
        <f t="shared" ca="1" si="272"/>
        <v>27.269163194777811</v>
      </c>
      <c r="H603" s="360">
        <f t="shared" ca="1" si="273"/>
        <v>-62.120259187459233</v>
      </c>
      <c r="I603" s="357">
        <f t="shared" ca="1" si="274"/>
        <v>67.841977144394434</v>
      </c>
      <c r="J603" s="359">
        <f t="shared" ca="1" si="275"/>
        <v>736.58977954764237</v>
      </c>
      <c r="K603" s="360">
        <f t="shared" ca="1" si="276"/>
        <v>1204.9191075903029</v>
      </c>
      <c r="L603" s="357">
        <f t="shared" ca="1" si="261"/>
        <v>1412.230349188919</v>
      </c>
      <c r="M603" s="359">
        <f t="shared" ca="1" si="277"/>
        <v>-1.1571495703682837</v>
      </c>
      <c r="N603" s="357">
        <f t="shared" ca="1" si="278"/>
        <v>-66.299786647479124</v>
      </c>
      <c r="O603" s="343"/>
      <c r="P603" s="363">
        <f t="shared" ca="1" si="279"/>
        <v>23</v>
      </c>
      <c r="Q603" s="357">
        <f t="shared" ca="1" si="280"/>
        <v>0</v>
      </c>
      <c r="R603" s="359">
        <f t="shared" ca="1" si="281"/>
        <v>0</v>
      </c>
      <c r="S603" s="360">
        <f t="shared" ca="1" si="282"/>
        <v>8.6519999999999992</v>
      </c>
      <c r="T603" s="357">
        <f t="shared" ca="1" si="262"/>
        <v>84.87612</v>
      </c>
      <c r="U603" s="364">
        <f t="shared" ca="1" si="263"/>
        <v>0</v>
      </c>
      <c r="V603" s="359">
        <f t="shared" ca="1" si="264"/>
        <v>1.0857845755686211</v>
      </c>
      <c r="W603" s="357">
        <f t="shared" ca="1" si="265"/>
        <v>11.311502041184591</v>
      </c>
      <c r="X603" s="343"/>
      <c r="Y603" s="367" t="str">
        <f t="shared" ca="1" si="283"/>
        <v/>
      </c>
      <c r="Z603" s="368" t="str">
        <f t="shared" ca="1" si="284"/>
        <v/>
      </c>
      <c r="AA603" s="369" t="str">
        <f t="shared" ca="1" si="285"/>
        <v/>
      </c>
      <c r="AB603" s="344"/>
      <c r="AC603" s="363" t="e">
        <f t="shared" ca="1" si="286"/>
        <v>#N/A</v>
      </c>
      <c r="AD603" s="376" t="e">
        <f t="shared" ca="1" si="287"/>
        <v>#N/A</v>
      </c>
      <c r="AE603" s="377" t="e">
        <f t="shared" ca="1" si="266"/>
        <v>#N/A</v>
      </c>
      <c r="AF603" s="344"/>
      <c r="AG603" s="359">
        <f t="shared" ca="1" si="288"/>
        <v>7.6821448572836326</v>
      </c>
      <c r="AH603" s="357">
        <f t="shared" ca="1" si="289"/>
        <v>-1.2771090591319973</v>
      </c>
    </row>
    <row r="604" spans="1:34" x14ac:dyDescent="0.25">
      <c r="A604" s="402">
        <f t="shared" ca="1" si="267"/>
        <v>0.1</v>
      </c>
      <c r="B604" s="357">
        <f t="shared" ca="1" si="268"/>
        <v>24.000000000000028</v>
      </c>
      <c r="C604" s="342"/>
      <c r="D604" s="359">
        <f t="shared" ca="1" si="269"/>
        <v>-0.52550527790078083</v>
      </c>
      <c r="E604" s="360">
        <f t="shared" ca="1" si="270"/>
        <v>-8.6128776741551825</v>
      </c>
      <c r="F604" s="357">
        <f t="shared" ca="1" si="271"/>
        <v>8.6288943455730394</v>
      </c>
      <c r="G604" s="359">
        <f t="shared" ca="1" si="272"/>
        <v>27.216612666987732</v>
      </c>
      <c r="H604" s="360">
        <f t="shared" ca="1" si="273"/>
        <v>-62.981546954874752</v>
      </c>
      <c r="I604" s="357">
        <f t="shared" ca="1" si="274"/>
        <v>68.610635195237265</v>
      </c>
      <c r="J604" s="359">
        <f t="shared" ca="1" si="275"/>
        <v>739.31406834073061</v>
      </c>
      <c r="K604" s="360">
        <f t="shared" ca="1" si="276"/>
        <v>1198.6640172831862</v>
      </c>
      <c r="L604" s="357">
        <f t="shared" ca="1" si="261"/>
        <v>1408.3255014292645</v>
      </c>
      <c r="M604" s="359">
        <f t="shared" ca="1" si="277"/>
        <v>-1.162896730168584</v>
      </c>
      <c r="N604" s="357">
        <f t="shared" ca="1" si="278"/>
        <v>-66.629074648223579</v>
      </c>
      <c r="O604" s="343"/>
      <c r="P604" s="363">
        <f t="shared" ca="1" si="279"/>
        <v>23</v>
      </c>
      <c r="Q604" s="357">
        <f t="shared" ca="1" si="280"/>
        <v>0</v>
      </c>
      <c r="R604" s="359">
        <f t="shared" ca="1" si="281"/>
        <v>0</v>
      </c>
      <c r="S604" s="360">
        <f t="shared" ca="1" si="282"/>
        <v>8.6519999999999992</v>
      </c>
      <c r="T604" s="357">
        <f t="shared" ca="1" si="262"/>
        <v>84.87612</v>
      </c>
      <c r="U604" s="364">
        <f t="shared" ca="1" si="263"/>
        <v>0</v>
      </c>
      <c r="V604" s="359">
        <f t="shared" ca="1" si="264"/>
        <v>1.0864664188295308</v>
      </c>
      <c r="W604" s="357">
        <f t="shared" ca="1" si="265"/>
        <v>11.576540763394419</v>
      </c>
      <c r="X604" s="343"/>
      <c r="Y604" s="367" t="str">
        <f t="shared" ca="1" si="283"/>
        <v/>
      </c>
      <c r="Z604" s="368" t="str">
        <f t="shared" ca="1" si="284"/>
        <v/>
      </c>
      <c r="AA604" s="369" t="str">
        <f t="shared" ca="1" si="285"/>
        <v/>
      </c>
      <c r="AB604" s="344"/>
      <c r="AC604" s="363">
        <f t="shared" ca="1" si="286"/>
        <v>24.000000000000028</v>
      </c>
      <c r="AD604" s="376">
        <f t="shared" ca="1" si="287"/>
        <v>739.31406834073061</v>
      </c>
      <c r="AE604" s="377" t="e">
        <f t="shared" ca="1" si="266"/>
        <v>#N/A</v>
      </c>
      <c r="AF604" s="344"/>
      <c r="AG604" s="359">
        <f t="shared" ca="1" si="288"/>
        <v>7.6752495461231058</v>
      </c>
      <c r="AH604" s="357">
        <f t="shared" ca="1" si="289"/>
        <v>-1.3073858115100083</v>
      </c>
    </row>
    <row r="605" spans="1:34" x14ac:dyDescent="0.25">
      <c r="A605" s="402">
        <f t="shared" ca="1" si="267"/>
        <v>0.1</v>
      </c>
      <c r="B605" s="357">
        <f t="shared" ca="1" si="268"/>
        <v>24.10000000000003</v>
      </c>
      <c r="C605" s="342"/>
      <c r="D605" s="359">
        <f t="shared" ca="1" si="269"/>
        <v>-0.53076823937460194</v>
      </c>
      <c r="E605" s="360">
        <f t="shared" ca="1" si="270"/>
        <v>-8.5817573380880425</v>
      </c>
      <c r="F605" s="357">
        <f t="shared" ca="1" si="271"/>
        <v>8.5981552634130072</v>
      </c>
      <c r="G605" s="359">
        <f t="shared" ca="1" si="272"/>
        <v>27.163535843050273</v>
      </c>
      <c r="H605" s="360">
        <f t="shared" ca="1" si="273"/>
        <v>-63.839722688683558</v>
      </c>
      <c r="I605" s="357">
        <f t="shared" ca="1" si="274"/>
        <v>69.37843953610296</v>
      </c>
      <c r="J605" s="359">
        <f t="shared" ca="1" si="275"/>
        <v>742.03307576623251</v>
      </c>
      <c r="K605" s="360">
        <f t="shared" ca="1" si="276"/>
        <v>1192.3229538010082</v>
      </c>
      <c r="L605" s="357">
        <f t="shared" ca="1" si="261"/>
        <v>1404.3671570112485</v>
      </c>
      <c r="M605" s="359">
        <f t="shared" ca="1" si="277"/>
        <v>-1.1685057811818154</v>
      </c>
      <c r="N605" s="357">
        <f t="shared" ca="1" si="278"/>
        <v>-66.950449598355306</v>
      </c>
      <c r="O605" s="343"/>
      <c r="P605" s="363">
        <f t="shared" ca="1" si="279"/>
        <v>23</v>
      </c>
      <c r="Q605" s="357">
        <f t="shared" ca="1" si="280"/>
        <v>0</v>
      </c>
      <c r="R605" s="359">
        <f t="shared" ca="1" si="281"/>
        <v>0</v>
      </c>
      <c r="S605" s="360">
        <f t="shared" ca="1" si="282"/>
        <v>8.6519999999999992</v>
      </c>
      <c r="T605" s="357">
        <f t="shared" ca="1" si="262"/>
        <v>84.87612</v>
      </c>
      <c r="U605" s="364">
        <f t="shared" ca="1" si="263"/>
        <v>0</v>
      </c>
      <c r="V605" s="359">
        <f t="shared" ca="1" si="264"/>
        <v>1.0871580445343048</v>
      </c>
      <c r="W605" s="357">
        <f t="shared" ca="1" si="265"/>
        <v>11.844626118466003</v>
      </c>
      <c r="X605" s="343"/>
      <c r="Y605" s="367" t="str">
        <f t="shared" ca="1" si="283"/>
        <v/>
      </c>
      <c r="Z605" s="368" t="str">
        <f t="shared" ca="1" si="284"/>
        <v/>
      </c>
      <c r="AA605" s="369" t="str">
        <f t="shared" ca="1" si="285"/>
        <v/>
      </c>
      <c r="AB605" s="344"/>
      <c r="AC605" s="363" t="e">
        <f t="shared" ca="1" si="286"/>
        <v>#N/A</v>
      </c>
      <c r="AD605" s="376" t="e">
        <f t="shared" ca="1" si="287"/>
        <v>#N/A</v>
      </c>
      <c r="AE605" s="377" t="e">
        <f t="shared" ca="1" si="266"/>
        <v>#N/A</v>
      </c>
      <c r="AF605" s="344"/>
      <c r="AG605" s="359">
        <f t="shared" ca="1" si="288"/>
        <v>7.6671297046037559</v>
      </c>
      <c r="AH605" s="357">
        <f t="shared" ca="1" si="289"/>
        <v>-1.3380190433881669</v>
      </c>
    </row>
    <row r="606" spans="1:34" x14ac:dyDescent="0.25">
      <c r="A606" s="402">
        <f t="shared" ca="1" si="267"/>
        <v>0.1</v>
      </c>
      <c r="B606" s="357">
        <f t="shared" ca="1" si="268"/>
        <v>24.200000000000031</v>
      </c>
      <c r="C606" s="342"/>
      <c r="D606" s="359">
        <f t="shared" ca="1" si="269"/>
        <v>-0.53600225795323664</v>
      </c>
      <c r="E606" s="360">
        <f t="shared" ca="1" si="270"/>
        <v>-8.5502878732005172</v>
      </c>
      <c r="F606" s="357">
        <f t="shared" ca="1" si="271"/>
        <v>8.5670719114018645</v>
      </c>
      <c r="G606" s="359">
        <f t="shared" ca="1" si="272"/>
        <v>27.109935617254948</v>
      </c>
      <c r="H606" s="360">
        <f t="shared" ca="1" si="273"/>
        <v>-64.694751476003603</v>
      </c>
      <c r="I606" s="357">
        <f t="shared" ca="1" si="274"/>
        <v>70.145274093937203</v>
      </c>
      <c r="J606" s="359">
        <f t="shared" ca="1" si="275"/>
        <v>744.7467493392478</v>
      </c>
      <c r="K606" s="360">
        <f t="shared" ca="1" si="276"/>
        <v>1185.896230092774</v>
      </c>
      <c r="L606" s="357">
        <f t="shared" ca="1" si="261"/>
        <v>1400.3562365339865</v>
      </c>
      <c r="M606" s="359">
        <f t="shared" ca="1" si="277"/>
        <v>-1.1739814167316722</v>
      </c>
      <c r="N606" s="357">
        <f t="shared" ca="1" si="278"/>
        <v>-67.264180405513912</v>
      </c>
      <c r="O606" s="343"/>
      <c r="P606" s="363">
        <f t="shared" ca="1" si="279"/>
        <v>23</v>
      </c>
      <c r="Q606" s="357">
        <f t="shared" ca="1" si="280"/>
        <v>0</v>
      </c>
      <c r="R606" s="359">
        <f t="shared" ca="1" si="281"/>
        <v>0</v>
      </c>
      <c r="S606" s="360">
        <f t="shared" ca="1" si="282"/>
        <v>8.6519999999999992</v>
      </c>
      <c r="T606" s="357">
        <f t="shared" ca="1" si="262"/>
        <v>84.87612</v>
      </c>
      <c r="U606" s="364">
        <f t="shared" ca="1" si="263"/>
        <v>0</v>
      </c>
      <c r="V606" s="359">
        <f t="shared" ca="1" si="264"/>
        <v>1.0878594357221312</v>
      </c>
      <c r="W606" s="357">
        <f t="shared" ca="1" si="265"/>
        <v>12.115720167471947</v>
      </c>
      <c r="X606" s="343"/>
      <c r="Y606" s="367" t="str">
        <f t="shared" ca="1" si="283"/>
        <v/>
      </c>
      <c r="Z606" s="368" t="str">
        <f t="shared" ca="1" si="284"/>
        <v/>
      </c>
      <c r="AA606" s="369" t="str">
        <f t="shared" ca="1" si="285"/>
        <v/>
      </c>
      <c r="AB606" s="344"/>
      <c r="AC606" s="363" t="e">
        <f t="shared" ca="1" si="286"/>
        <v>#N/A</v>
      </c>
      <c r="AD606" s="376" t="e">
        <f t="shared" ca="1" si="287"/>
        <v>#N/A</v>
      </c>
      <c r="AE606" s="377" t="e">
        <f t="shared" ca="1" si="266"/>
        <v>#N/A</v>
      </c>
      <c r="AF606" s="344"/>
      <c r="AG606" s="359">
        <f t="shared" ca="1" si="288"/>
        <v>7.6578299215161216</v>
      </c>
      <c r="AH606" s="357">
        <f t="shared" ca="1" si="289"/>
        <v>-1.3690044057404074</v>
      </c>
    </row>
    <row r="607" spans="1:34" x14ac:dyDescent="0.25">
      <c r="A607" s="402">
        <f t="shared" ca="1" si="267"/>
        <v>0.1</v>
      </c>
      <c r="B607" s="357">
        <f t="shared" ca="1" si="268"/>
        <v>24.300000000000033</v>
      </c>
      <c r="C607" s="342"/>
      <c r="D607" s="359">
        <f t="shared" ca="1" si="269"/>
        <v>-0.54120623699711656</v>
      </c>
      <c r="E607" s="360">
        <f t="shared" ca="1" si="270"/>
        <v>-8.5184733990476058</v>
      </c>
      <c r="F607" s="357">
        <f t="shared" ca="1" si="271"/>
        <v>8.5356483784915991</v>
      </c>
      <c r="G607" s="359">
        <f t="shared" ca="1" si="272"/>
        <v>27.055814993555234</v>
      </c>
      <c r="H607" s="360">
        <f t="shared" ca="1" si="273"/>
        <v>-65.546598815908368</v>
      </c>
      <c r="I607" s="357">
        <f t="shared" ca="1" si="274"/>
        <v>70.911026937276318</v>
      </c>
      <c r="J607" s="359">
        <f t="shared" ca="1" si="275"/>
        <v>747.45503686978827</v>
      </c>
      <c r="K607" s="360">
        <f t="shared" ca="1" si="276"/>
        <v>1179.3841625781783</v>
      </c>
      <c r="L607" s="357">
        <f t="shared" ca="1" si="261"/>
        <v>1396.2936779496811</v>
      </c>
      <c r="M607" s="359">
        <f t="shared" ca="1" si="277"/>
        <v>-1.179328135869893</v>
      </c>
      <c r="N607" s="357">
        <f t="shared" ca="1" si="278"/>
        <v>-67.57052484637579</v>
      </c>
      <c r="O607" s="343"/>
      <c r="P607" s="363">
        <f t="shared" ca="1" si="279"/>
        <v>23</v>
      </c>
      <c r="Q607" s="357">
        <f t="shared" ca="1" si="280"/>
        <v>0</v>
      </c>
      <c r="R607" s="359">
        <f t="shared" ca="1" si="281"/>
        <v>0</v>
      </c>
      <c r="S607" s="360">
        <f t="shared" ca="1" si="282"/>
        <v>8.6519999999999992</v>
      </c>
      <c r="T607" s="357">
        <f t="shared" ca="1" si="262"/>
        <v>84.87612</v>
      </c>
      <c r="U607" s="364">
        <f t="shared" ca="1" si="263"/>
        <v>0</v>
      </c>
      <c r="V607" s="359">
        <f t="shared" ca="1" si="264"/>
        <v>1.0885705752284349</v>
      </c>
      <c r="W607" s="357">
        <f t="shared" ca="1" si="265"/>
        <v>12.389784669252151</v>
      </c>
      <c r="X607" s="343"/>
      <c r="Y607" s="367" t="str">
        <f t="shared" ca="1" si="283"/>
        <v/>
      </c>
      <c r="Z607" s="368" t="str">
        <f t="shared" ca="1" si="284"/>
        <v/>
      </c>
      <c r="AA607" s="369" t="str">
        <f t="shared" ca="1" si="285"/>
        <v/>
      </c>
      <c r="AB607" s="344"/>
      <c r="AC607" s="363" t="e">
        <f t="shared" ca="1" si="286"/>
        <v>#N/A</v>
      </c>
      <c r="AD607" s="376" t="e">
        <f t="shared" ca="1" si="287"/>
        <v>#N/A</v>
      </c>
      <c r="AE607" s="377" t="e">
        <f t="shared" ca="1" si="266"/>
        <v>#N/A</v>
      </c>
      <c r="AF607" s="344"/>
      <c r="AG607" s="359">
        <f t="shared" ca="1" si="288"/>
        <v>7.6473926461148194</v>
      </c>
      <c r="AH607" s="357">
        <f t="shared" ca="1" si="289"/>
        <v>-1.4003375135774327</v>
      </c>
    </row>
    <row r="608" spans="1:34" x14ac:dyDescent="0.25">
      <c r="A608" s="402">
        <f t="shared" ca="1" si="267"/>
        <v>0.1</v>
      </c>
      <c r="B608" s="357">
        <f t="shared" ca="1" si="268"/>
        <v>24.400000000000034</v>
      </c>
      <c r="C608" s="342"/>
      <c r="D608" s="359">
        <f t="shared" ca="1" si="269"/>
        <v>-0.54637911889068802</v>
      </c>
      <c r="E608" s="360">
        <f t="shared" ca="1" si="270"/>
        <v>-8.4863180885200382</v>
      </c>
      <c r="F608" s="357">
        <f t="shared" ca="1" si="271"/>
        <v>8.5038888069578</v>
      </c>
      <c r="G608" s="359">
        <f t="shared" ca="1" si="272"/>
        <v>27.001177081666164</v>
      </c>
      <c r="H608" s="360">
        <f t="shared" ca="1" si="273"/>
        <v>-66.395230624760373</v>
      </c>
      <c r="I608" s="357">
        <f t="shared" ca="1" si="274"/>
        <v>71.675590081356233</v>
      </c>
      <c r="J608" s="359">
        <f t="shared" ca="1" si="275"/>
        <v>750.1578864735493</v>
      </c>
      <c r="K608" s="360">
        <f t="shared" ca="1" si="276"/>
        <v>1172.7870711061448</v>
      </c>
      <c r="L608" s="357">
        <f t="shared" ca="1" si="261"/>
        <v>1392.180436865923</v>
      </c>
      <c r="M608" s="359">
        <f t="shared" ca="1" si="277"/>
        <v>-1.1845502522938782</v>
      </c>
      <c r="N608" s="357">
        <f t="shared" ca="1" si="278"/>
        <v>-67.869730077596088</v>
      </c>
      <c r="O608" s="343"/>
      <c r="P608" s="363">
        <f t="shared" ca="1" si="279"/>
        <v>23</v>
      </c>
      <c r="Q608" s="357">
        <f t="shared" ca="1" si="280"/>
        <v>0</v>
      </c>
      <c r="R608" s="359">
        <f t="shared" ca="1" si="281"/>
        <v>0</v>
      </c>
      <c r="S608" s="360">
        <f t="shared" ca="1" si="282"/>
        <v>8.6519999999999992</v>
      </c>
      <c r="T608" s="357">
        <f t="shared" ca="1" si="262"/>
        <v>84.87612</v>
      </c>
      <c r="U608" s="364">
        <f t="shared" ca="1" si="263"/>
        <v>0</v>
      </c>
      <c r="V608" s="359">
        <f t="shared" ca="1" si="264"/>
        <v>1.0892914456863738</v>
      </c>
      <c r="W608" s="357">
        <f t="shared" ca="1" si="265"/>
        <v>12.666781089415663</v>
      </c>
      <c r="X608" s="343"/>
      <c r="Y608" s="367" t="str">
        <f t="shared" ca="1" si="283"/>
        <v/>
      </c>
      <c r="Z608" s="368" t="str">
        <f t="shared" ca="1" si="284"/>
        <v/>
      </c>
      <c r="AA608" s="369" t="str">
        <f t="shared" ca="1" si="285"/>
        <v/>
      </c>
      <c r="AB608" s="344"/>
      <c r="AC608" s="363" t="e">
        <f t="shared" ca="1" si="286"/>
        <v>#N/A</v>
      </c>
      <c r="AD608" s="376" t="e">
        <f t="shared" ca="1" si="287"/>
        <v>#N/A</v>
      </c>
      <c r="AE608" s="377" t="e">
        <f t="shared" ca="1" si="266"/>
        <v>#N/A</v>
      </c>
      <c r="AF608" s="344"/>
      <c r="AG608" s="359">
        <f t="shared" ca="1" si="288"/>
        <v>7.635858317131837</v>
      </c>
      <c r="AH608" s="357">
        <f t="shared" ca="1" si="289"/>
        <v>-1.4320139469778261</v>
      </c>
    </row>
    <row r="609" spans="1:34" x14ac:dyDescent="0.25">
      <c r="A609" s="402">
        <f t="shared" ca="1" si="267"/>
        <v>0.1</v>
      </c>
      <c r="B609" s="357">
        <f t="shared" ca="1" si="268"/>
        <v>24.500000000000036</v>
      </c>
      <c r="C609" s="342"/>
      <c r="D609" s="359">
        <f t="shared" ca="1" si="269"/>
        <v>-0.55151988347205738</v>
      </c>
      <c r="E609" s="360">
        <f t="shared" ca="1" si="270"/>
        <v>-8.4538261655588318</v>
      </c>
      <c r="F609" s="357">
        <f t="shared" ca="1" si="271"/>
        <v>8.4717973901263814</v>
      </c>
      <c r="G609" s="359">
        <f t="shared" ca="1" si="272"/>
        <v>26.946025093318958</v>
      </c>
      <c r="H609" s="360">
        <f t="shared" ca="1" si="273"/>
        <v>-67.240613241316254</v>
      </c>
      <c r="I609" s="357">
        <f t="shared" ca="1" si="274"/>
        <v>72.438859304920385</v>
      </c>
      <c r="J609" s="359">
        <f t="shared" ca="1" si="275"/>
        <v>752.85524658229861</v>
      </c>
      <c r="K609" s="360">
        <f t="shared" ca="1" si="276"/>
        <v>1166.105278912841</v>
      </c>
      <c r="L609" s="357">
        <f t="shared" ca="1" si="261"/>
        <v>1388.0174868548625</v>
      </c>
      <c r="M609" s="359">
        <f t="shared" ca="1" si="277"/>
        <v>-1.18965190285824</v>
      </c>
      <c r="N609" s="357">
        <f t="shared" ca="1" si="278"/>
        <v>-68.162033123484548</v>
      </c>
      <c r="O609" s="343"/>
      <c r="P609" s="363">
        <f t="shared" ca="1" si="279"/>
        <v>23</v>
      </c>
      <c r="Q609" s="357">
        <f t="shared" ca="1" si="280"/>
        <v>0</v>
      </c>
      <c r="R609" s="359">
        <f t="shared" ca="1" si="281"/>
        <v>0</v>
      </c>
      <c r="S609" s="360">
        <f t="shared" ca="1" si="282"/>
        <v>8.6519999999999992</v>
      </c>
      <c r="T609" s="357">
        <f t="shared" ca="1" si="262"/>
        <v>84.87612</v>
      </c>
      <c r="U609" s="364">
        <f t="shared" ca="1" si="263"/>
        <v>0</v>
      </c>
      <c r="V609" s="359">
        <f t="shared" ca="1" si="264"/>
        <v>1.0900220295283722</v>
      </c>
      <c r="W609" s="357">
        <f t="shared" ca="1" si="265"/>
        <v>12.946670609417408</v>
      </c>
      <c r="X609" s="343"/>
      <c r="Y609" s="367" t="str">
        <f t="shared" ca="1" si="283"/>
        <v/>
      </c>
      <c r="Z609" s="368" t="str">
        <f t="shared" ca="1" si="284"/>
        <v/>
      </c>
      <c r="AA609" s="369" t="str">
        <f t="shared" ca="1" si="285"/>
        <v/>
      </c>
      <c r="AB609" s="344"/>
      <c r="AC609" s="363" t="e">
        <f t="shared" ca="1" si="286"/>
        <v>#N/A</v>
      </c>
      <c r="AD609" s="376" t="e">
        <f t="shared" ca="1" si="287"/>
        <v>#N/A</v>
      </c>
      <c r="AE609" s="377" t="e">
        <f t="shared" ca="1" si="266"/>
        <v>#N/A</v>
      </c>
      <c r="AF609" s="344"/>
      <c r="AG609" s="359">
        <f t="shared" ca="1" si="288"/>
        <v>7.6232654836328964</v>
      </c>
      <c r="AH609" s="357">
        <f t="shared" ca="1" si="289"/>
        <v>-1.4640292521284863</v>
      </c>
    </row>
    <row r="610" spans="1:34" x14ac:dyDescent="0.25">
      <c r="A610" s="402">
        <f t="shared" ca="1" si="267"/>
        <v>0.1</v>
      </c>
      <c r="B610" s="357">
        <f t="shared" ca="1" si="268"/>
        <v>24.600000000000037</v>
      </c>
      <c r="C610" s="342"/>
      <c r="D610" s="359">
        <f t="shared" ca="1" si="269"/>
        <v>-0.55662754655742464</v>
      </c>
      <c r="E610" s="360">
        <f t="shared" ca="1" si="270"/>
        <v>-8.4210019029556058</v>
      </c>
      <c r="F610" s="357">
        <f t="shared" ca="1" si="271"/>
        <v>8.4393783701863061</v>
      </c>
      <c r="G610" s="359">
        <f t="shared" ca="1" si="272"/>
        <v>26.890362338663216</v>
      </c>
      <c r="H610" s="360">
        <f t="shared" ca="1" si="273"/>
        <v>-68.082713431611808</v>
      </c>
      <c r="I610" s="357">
        <f t="shared" ca="1" si="274"/>
        <v>73.20073397798393</v>
      </c>
      <c r="J610" s="359">
        <f t="shared" ca="1" si="275"/>
        <v>755.54706595389769</v>
      </c>
      <c r="K610" s="360">
        <f t="shared" ca="1" si="276"/>
        <v>1159.3391125791945</v>
      </c>
      <c r="L610" s="357">
        <f t="shared" ca="1" si="261"/>
        <v>1383.8058197693265</v>
      </c>
      <c r="M610" s="359">
        <f t="shared" ca="1" si="277"/>
        <v>-1.1946370556937946</v>
      </c>
      <c r="N610" s="357">
        <f t="shared" ca="1" si="278"/>
        <v>-68.447661341189502</v>
      </c>
      <c r="O610" s="343"/>
      <c r="P610" s="363">
        <f t="shared" ca="1" si="279"/>
        <v>23</v>
      </c>
      <c r="Q610" s="357">
        <f t="shared" ca="1" si="280"/>
        <v>0</v>
      </c>
      <c r="R610" s="359">
        <f t="shared" ca="1" si="281"/>
        <v>0</v>
      </c>
      <c r="S610" s="360">
        <f t="shared" ca="1" si="282"/>
        <v>8.6519999999999992</v>
      </c>
      <c r="T610" s="357">
        <f t="shared" ca="1" si="262"/>
        <v>84.87612</v>
      </c>
      <c r="U610" s="364">
        <f t="shared" ca="1" si="263"/>
        <v>0</v>
      </c>
      <c r="V610" s="359">
        <f t="shared" ca="1" si="264"/>
        <v>1.0907623089876934</v>
      </c>
      <c r="W610" s="357">
        <f t="shared" ca="1" si="265"/>
        <v>13.229414135704085</v>
      </c>
      <c r="X610" s="343"/>
      <c r="Y610" s="367" t="str">
        <f t="shared" ca="1" si="283"/>
        <v/>
      </c>
      <c r="Z610" s="368" t="str">
        <f t="shared" ca="1" si="284"/>
        <v/>
      </c>
      <c r="AA610" s="369" t="str">
        <f t="shared" ca="1" si="285"/>
        <v/>
      </c>
      <c r="AB610" s="344"/>
      <c r="AC610" s="363" t="e">
        <f t="shared" ca="1" si="286"/>
        <v>#N/A</v>
      </c>
      <c r="AD610" s="376" t="e">
        <f t="shared" ca="1" si="287"/>
        <v>#N/A</v>
      </c>
      <c r="AE610" s="377" t="e">
        <f t="shared" ca="1" si="266"/>
        <v>#N/A</v>
      </c>
      <c r="AF610" s="344"/>
      <c r="AG610" s="359">
        <f t="shared" ca="1" si="288"/>
        <v>7.6096509182111696</v>
      </c>
      <c r="AH610" s="357">
        <f t="shared" ca="1" si="289"/>
        <v>-1.4963789423737182</v>
      </c>
    </row>
    <row r="611" spans="1:34" x14ac:dyDescent="0.25">
      <c r="A611" s="402">
        <f t="shared" ca="1" si="267"/>
        <v>0.1</v>
      </c>
      <c r="B611" s="357">
        <f t="shared" ca="1" si="268"/>
        <v>24.700000000000038</v>
      </c>
      <c r="C611" s="342"/>
      <c r="D611" s="359">
        <f t="shared" ca="1" si="269"/>
        <v>-0.56170115855411573</v>
      </c>
      <c r="E611" s="360">
        <f t="shared" ca="1" si="270"/>
        <v>-8.3878496202314352</v>
      </c>
      <c r="F611" s="357">
        <f t="shared" ca="1" si="271"/>
        <v>8.4066360360811192</v>
      </c>
      <c r="G611" s="359">
        <f t="shared" ca="1" si="272"/>
        <v>26.834192222807804</v>
      </c>
      <c r="H611" s="360">
        <f t="shared" ca="1" si="273"/>
        <v>-68.921498393634948</v>
      </c>
      <c r="I611" s="357">
        <f t="shared" ca="1" si="274"/>
        <v>73.961116899857743</v>
      </c>
      <c r="J611" s="359">
        <f t="shared" ca="1" si="275"/>
        <v>758.23329368197119</v>
      </c>
      <c r="K611" s="360">
        <f t="shared" ca="1" si="276"/>
        <v>1152.4889019879322</v>
      </c>
      <c r="L611" s="357">
        <f t="shared" ca="1" si="261"/>
        <v>1379.546446065938</v>
      </c>
      <c r="M611" s="359">
        <f t="shared" ca="1" si="277"/>
        <v>-1.1995095179480177</v>
      </c>
      <c r="N611" s="357">
        <f t="shared" ca="1" si="278"/>
        <v>-68.726832864193284</v>
      </c>
      <c r="O611" s="343"/>
      <c r="P611" s="363">
        <f t="shared" ca="1" si="279"/>
        <v>23</v>
      </c>
      <c r="Q611" s="357">
        <f t="shared" ca="1" si="280"/>
        <v>0</v>
      </c>
      <c r="R611" s="359">
        <f t="shared" ca="1" si="281"/>
        <v>0</v>
      </c>
      <c r="S611" s="360">
        <f t="shared" ca="1" si="282"/>
        <v>8.6519999999999992</v>
      </c>
      <c r="T611" s="357">
        <f t="shared" ca="1" si="262"/>
        <v>84.87612</v>
      </c>
      <c r="U611" s="364">
        <f t="shared" ca="1" si="263"/>
        <v>0</v>
      </c>
      <c r="V611" s="359">
        <f t="shared" ca="1" si="264"/>
        <v>1.0915122661000394</v>
      </c>
      <c r="W611" s="357">
        <f t="shared" ca="1" si="265"/>
        <v>13.514972308923678</v>
      </c>
      <c r="X611" s="343"/>
      <c r="Y611" s="367" t="str">
        <f t="shared" ca="1" si="283"/>
        <v/>
      </c>
      <c r="Z611" s="368" t="str">
        <f t="shared" ca="1" si="284"/>
        <v/>
      </c>
      <c r="AA611" s="369" t="str">
        <f t="shared" ca="1" si="285"/>
        <v/>
      </c>
      <c r="AB611" s="344"/>
      <c r="AC611" s="363" t="e">
        <f t="shared" ca="1" si="286"/>
        <v>#N/A</v>
      </c>
      <c r="AD611" s="376" t="e">
        <f t="shared" ca="1" si="287"/>
        <v>#N/A</v>
      </c>
      <c r="AE611" s="377" t="e">
        <f t="shared" ca="1" si="266"/>
        <v>#N/A</v>
      </c>
      <c r="AF611" s="344"/>
      <c r="AG611" s="359">
        <f t="shared" ca="1" si="288"/>
        <v>7.5950497229893479</v>
      </c>
      <c r="AH611" s="357">
        <f t="shared" ca="1" si="289"/>
        <v>-1.5290584992723169</v>
      </c>
    </row>
    <row r="612" spans="1:34" x14ac:dyDescent="0.25">
      <c r="A612" s="402">
        <f t="shared" ca="1" si="267"/>
        <v>0.1</v>
      </c>
      <c r="B612" s="357">
        <f t="shared" ca="1" si="268"/>
        <v>24.80000000000004</v>
      </c>
      <c r="C612" s="342"/>
      <c r="D612" s="359">
        <f t="shared" ca="1" si="269"/>
        <v>-0.56673980315641437</v>
      </c>
      <c r="E612" s="360">
        <f t="shared" ca="1" si="270"/>
        <v>-8.3543736815876972</v>
      </c>
      <c r="F612" s="357">
        <f t="shared" ca="1" si="271"/>
        <v>8.3735747214727194</v>
      </c>
      <c r="G612" s="359">
        <f t="shared" ca="1" si="272"/>
        <v>26.777518242492164</v>
      </c>
      <c r="H612" s="360">
        <f t="shared" ca="1" si="273"/>
        <v>-69.756935761793713</v>
      </c>
      <c r="I612" s="357">
        <f t="shared" ca="1" si="274"/>
        <v>74.719914146778933</v>
      </c>
      <c r="J612" s="359">
        <f t="shared" ca="1" si="275"/>
        <v>760.91387920523619</v>
      </c>
      <c r="K612" s="360">
        <f t="shared" ca="1" si="276"/>
        <v>1145.5549802801609</v>
      </c>
      <c r="L612" s="357">
        <f t="shared" ca="1" si="261"/>
        <v>1375.2403951352799</v>
      </c>
      <c r="M612" s="359">
        <f t="shared" ca="1" si="277"/>
        <v>-1.2042729431612953</v>
      </c>
      <c r="N612" s="357">
        <f t="shared" ca="1" si="278"/>
        <v>-68.999757024940294</v>
      </c>
      <c r="O612" s="343"/>
      <c r="P612" s="363">
        <f t="shared" ca="1" si="279"/>
        <v>23</v>
      </c>
      <c r="Q612" s="357">
        <f t="shared" ca="1" si="280"/>
        <v>0</v>
      </c>
      <c r="R612" s="359">
        <f t="shared" ca="1" si="281"/>
        <v>0</v>
      </c>
      <c r="S612" s="360">
        <f t="shared" ca="1" si="282"/>
        <v>8.6519999999999992</v>
      </c>
      <c r="T612" s="357">
        <f t="shared" ca="1" si="262"/>
        <v>84.87612</v>
      </c>
      <c r="U612" s="364">
        <f t="shared" ca="1" si="263"/>
        <v>0</v>
      </c>
      <c r="V612" s="359">
        <f t="shared" ca="1" si="264"/>
        <v>1.092271882705194</v>
      </c>
      <c r="W612" s="357">
        <f t="shared" ca="1" si="265"/>
        <v>13.803305513193289</v>
      </c>
      <c r="X612" s="343"/>
      <c r="Y612" s="367" t="str">
        <f t="shared" ca="1" si="283"/>
        <v/>
      </c>
      <c r="Z612" s="368" t="str">
        <f t="shared" ca="1" si="284"/>
        <v/>
      </c>
      <c r="AA612" s="369" t="str">
        <f t="shared" ca="1" si="285"/>
        <v/>
      </c>
      <c r="AB612" s="344"/>
      <c r="AC612" s="363" t="e">
        <f t="shared" ca="1" si="286"/>
        <v>#N/A</v>
      </c>
      <c r="AD612" s="376" t="e">
        <f t="shared" ca="1" si="287"/>
        <v>#N/A</v>
      </c>
      <c r="AE612" s="377" t="e">
        <f t="shared" ca="1" si="266"/>
        <v>#N/A</v>
      </c>
      <c r="AF612" s="344"/>
      <c r="AG612" s="359">
        <f t="shared" ca="1" si="288"/>
        <v>7.5794954288776459</v>
      </c>
      <c r="AH612" s="357">
        <f t="shared" ca="1" si="289"/>
        <v>-1.5620633736620064</v>
      </c>
    </row>
    <row r="613" spans="1:34" x14ac:dyDescent="0.25">
      <c r="A613" s="402">
        <f t="shared" ca="1" si="267"/>
        <v>0.1</v>
      </c>
      <c r="B613" s="357">
        <f t="shared" ca="1" si="268"/>
        <v>24.900000000000041</v>
      </c>
      <c r="C613" s="342"/>
      <c r="D613" s="359">
        <f t="shared" ca="1" si="269"/>
        <v>-0.57174259611875866</v>
      </c>
      <c r="E613" s="360">
        <f t="shared" ca="1" si="270"/>
        <v>-8.3205784939229854</v>
      </c>
      <c r="F613" s="357">
        <f t="shared" ca="1" si="271"/>
        <v>8.3401988027714484</v>
      </c>
      <c r="G613" s="359">
        <f t="shared" ca="1" si="272"/>
        <v>26.720343982880287</v>
      </c>
      <c r="H613" s="360">
        <f t="shared" ca="1" si="273"/>
        <v>-70.588993611186012</v>
      </c>
      <c r="I613" s="357">
        <f t="shared" ca="1" si="274"/>
        <v>75.477034928536412</v>
      </c>
      <c r="J613" s="359">
        <f t="shared" ca="1" si="275"/>
        <v>763.58877231650479</v>
      </c>
      <c r="K613" s="360">
        <f t="shared" ca="1" si="276"/>
        <v>1138.5376838115119</v>
      </c>
      <c r="L613" s="357">
        <f t="shared" ca="1" si="261"/>
        <v>1370.8887156391322</v>
      </c>
      <c r="M613" s="359">
        <f t="shared" ca="1" si="277"/>
        <v>-1.2089308382934205</v>
      </c>
      <c r="N613" s="357">
        <f t="shared" ca="1" si="278"/>
        <v>-69.266634757425606</v>
      </c>
      <c r="O613" s="343"/>
      <c r="P613" s="363">
        <f t="shared" ca="1" si="279"/>
        <v>23</v>
      </c>
      <c r="Q613" s="357">
        <f t="shared" ca="1" si="280"/>
        <v>0</v>
      </c>
      <c r="R613" s="359">
        <f t="shared" ca="1" si="281"/>
        <v>0</v>
      </c>
      <c r="S613" s="360">
        <f t="shared" ca="1" si="282"/>
        <v>8.6519999999999992</v>
      </c>
      <c r="T613" s="357">
        <f t="shared" ca="1" si="262"/>
        <v>84.87612</v>
      </c>
      <c r="U613" s="364">
        <f t="shared" ca="1" si="263"/>
        <v>0</v>
      </c>
      <c r="V613" s="359">
        <f t="shared" ca="1" si="264"/>
        <v>1.0930411404486877</v>
      </c>
      <c r="W613" s="357">
        <f t="shared" ca="1" si="265"/>
        <v>14.094373885419957</v>
      </c>
      <c r="X613" s="343"/>
      <c r="Y613" s="367" t="str">
        <f t="shared" ca="1" si="283"/>
        <v/>
      </c>
      <c r="Z613" s="368" t="str">
        <f t="shared" ca="1" si="284"/>
        <v/>
      </c>
      <c r="AA613" s="369" t="str">
        <f t="shared" ca="1" si="285"/>
        <v/>
      </c>
      <c r="AB613" s="344"/>
      <c r="AC613" s="363" t="e">
        <f t="shared" ca="1" si="286"/>
        <v>#N/A</v>
      </c>
      <c r="AD613" s="376" t="e">
        <f t="shared" ca="1" si="287"/>
        <v>#N/A</v>
      </c>
      <c r="AE613" s="377" t="e">
        <f t="shared" ca="1" si="266"/>
        <v>#N/A</v>
      </c>
      <c r="AF613" s="344"/>
      <c r="AG613" s="359">
        <f t="shared" ca="1" si="288"/>
        <v>7.5630200885118279</v>
      </c>
      <c r="AH613" s="357">
        <f t="shared" ca="1" si="289"/>
        <v>-1.5953889867306161</v>
      </c>
    </row>
    <row r="614" spans="1:34" x14ac:dyDescent="0.25">
      <c r="A614" s="402">
        <f t="shared" ca="1" si="267"/>
        <v>0.1</v>
      </c>
      <c r="B614" s="357">
        <f t="shared" ca="1" si="268"/>
        <v>25.000000000000043</v>
      </c>
      <c r="C614" s="342"/>
      <c r="D614" s="359">
        <f t="shared" ca="1" si="269"/>
        <v>-0.57670868410122167</v>
      </c>
      <c r="E614" s="360">
        <f t="shared" ca="1" si="270"/>
        <v>-8.2864685049107507</v>
      </c>
      <c r="F614" s="357">
        <f t="shared" ca="1" si="271"/>
        <v>8.3065126972271326</v>
      </c>
      <c r="G614" s="359">
        <f t="shared" ca="1" si="272"/>
        <v>26.662673114470167</v>
      </c>
      <c r="H614" s="360">
        <f t="shared" ca="1" si="273"/>
        <v>-71.417640461677081</v>
      </c>
      <c r="I614" s="357">
        <f t="shared" ca="1" si="274"/>
        <v>76.232391453518403</v>
      </c>
      <c r="J614" s="359">
        <f t="shared" ca="1" si="275"/>
        <v>766.25792317137234</v>
      </c>
      <c r="K614" s="360">
        <f t="shared" ca="1" si="276"/>
        <v>1131.4373521078687</v>
      </c>
      <c r="L614" s="357">
        <f t="shared" ca="1" si="261"/>
        <v>1366.4924758547959</v>
      </c>
      <c r="M614" s="359">
        <f t="shared" ca="1" si="277"/>
        <v>-1.2134865704147857</v>
      </c>
      <c r="N614" s="357">
        <f t="shared" ca="1" si="278"/>
        <v>-69.527658980572014</v>
      </c>
      <c r="O614" s="343"/>
      <c r="P614" s="363">
        <f t="shared" ca="1" si="279"/>
        <v>23</v>
      </c>
      <c r="Q614" s="357">
        <f t="shared" ca="1" si="280"/>
        <v>0</v>
      </c>
      <c r="R614" s="359">
        <f t="shared" ca="1" si="281"/>
        <v>0</v>
      </c>
      <c r="S614" s="360">
        <f t="shared" ca="1" si="282"/>
        <v>8.6519999999999992</v>
      </c>
      <c r="T614" s="357">
        <f t="shared" ca="1" si="262"/>
        <v>84.87612</v>
      </c>
      <c r="U614" s="364">
        <f t="shared" ca="1" si="263"/>
        <v>0</v>
      </c>
      <c r="V614" s="359">
        <f t="shared" ca="1" si="264"/>
        <v>1.0938200207835005</v>
      </c>
      <c r="W614" s="357">
        <f t="shared" ca="1" si="265"/>
        <v>14.388137324669497</v>
      </c>
      <c r="X614" s="343"/>
      <c r="Y614" s="367" t="str">
        <f t="shared" ca="1" si="283"/>
        <v/>
      </c>
      <c r="Z614" s="368" t="str">
        <f t="shared" ca="1" si="284"/>
        <v/>
      </c>
      <c r="AA614" s="369" t="str">
        <f t="shared" ca="1" si="285"/>
        <v/>
      </c>
      <c r="AB614" s="344"/>
      <c r="AC614" s="363">
        <f t="shared" ca="1" si="286"/>
        <v>25.000000000000043</v>
      </c>
      <c r="AD614" s="376">
        <f t="shared" ca="1" si="287"/>
        <v>766.25792317137234</v>
      </c>
      <c r="AE614" s="377" t="e">
        <f t="shared" ca="1" si="266"/>
        <v>#N/A</v>
      </c>
      <c r="AF614" s="344"/>
      <c r="AG614" s="359">
        <f t="shared" ca="1" si="288"/>
        <v>7.545654363271951</v>
      </c>
      <c r="AH614" s="357">
        <f t="shared" ca="1" si="289"/>
        <v>-1.629030731093384</v>
      </c>
    </row>
    <row r="615" spans="1:34" x14ac:dyDescent="0.25">
      <c r="A615" s="402">
        <f t="shared" ca="1" si="267"/>
        <v>0.1</v>
      </c>
      <c r="B615" s="357">
        <f t="shared" ca="1" si="268"/>
        <v>25.100000000000044</v>
      </c>
      <c r="C615" s="342"/>
      <c r="D615" s="359">
        <f t="shared" ca="1" si="269"/>
        <v>-0.581637243582518</v>
      </c>
      <c r="E615" s="360">
        <f t="shared" ca="1" si="270"/>
        <v>-8.2520482011327925</v>
      </c>
      <c r="F615" s="357">
        <f t="shared" ca="1" si="271"/>
        <v>8.2725208610762184</v>
      </c>
      <c r="G615" s="359">
        <f t="shared" ca="1" si="272"/>
        <v>26.604509390111915</v>
      </c>
      <c r="H615" s="360">
        <f t="shared" ca="1" si="273"/>
        <v>-72.242845281790366</v>
      </c>
      <c r="I615" s="357">
        <f t="shared" ca="1" si="274"/>
        <v>76.985898801645831</v>
      </c>
      <c r="J615" s="359">
        <f t="shared" ca="1" si="275"/>
        <v>768.92128229660148</v>
      </c>
      <c r="K615" s="360">
        <f t="shared" ca="1" si="276"/>
        <v>1124.2543278206954</v>
      </c>
      <c r="L615" s="357">
        <f t="shared" ca="1" si="261"/>
        <v>1362.0527640264945</v>
      </c>
      <c r="M615" s="359">
        <f t="shared" ca="1" si="277"/>
        <v>-1.2179433730765805</v>
      </c>
      <c r="N615" s="357">
        <f t="shared" ca="1" si="278"/>
        <v>-69.783014963215521</v>
      </c>
      <c r="O615" s="343"/>
      <c r="P615" s="363">
        <f t="shared" ca="1" si="279"/>
        <v>23</v>
      </c>
      <c r="Q615" s="357">
        <f t="shared" ca="1" si="280"/>
        <v>0</v>
      </c>
      <c r="R615" s="359">
        <f t="shared" ca="1" si="281"/>
        <v>0</v>
      </c>
      <c r="S615" s="360">
        <f t="shared" ca="1" si="282"/>
        <v>8.6519999999999992</v>
      </c>
      <c r="T615" s="357">
        <f t="shared" ca="1" si="262"/>
        <v>84.87612</v>
      </c>
      <c r="U615" s="364">
        <f t="shared" ca="1" si="263"/>
        <v>0</v>
      </c>
      <c r="V615" s="359">
        <f t="shared" ca="1" si="264"/>
        <v>1.0946085049717889</v>
      </c>
      <c r="W615" s="357">
        <f t="shared" ca="1" si="265"/>
        <v>14.684555501578181</v>
      </c>
      <c r="X615" s="343"/>
      <c r="Y615" s="367" t="str">
        <f t="shared" ca="1" si="283"/>
        <v/>
      </c>
      <c r="Z615" s="368" t="str">
        <f t="shared" ca="1" si="284"/>
        <v/>
      </c>
      <c r="AA615" s="369" t="str">
        <f t="shared" ca="1" si="285"/>
        <v/>
      </c>
      <c r="AB615" s="344"/>
      <c r="AC615" s="363" t="e">
        <f t="shared" ca="1" si="286"/>
        <v>#N/A</v>
      </c>
      <c r="AD615" s="376" t="e">
        <f t="shared" ca="1" si="287"/>
        <v>#N/A</v>
      </c>
      <c r="AE615" s="377" t="e">
        <f t="shared" ca="1" si="266"/>
        <v>#N/A</v>
      </c>
      <c r="AF615" s="344"/>
      <c r="AG615" s="359">
        <f t="shared" ca="1" si="288"/>
        <v>7.527427604760053</v>
      </c>
      <c r="AH615" s="357">
        <f t="shared" ca="1" si="289"/>
        <v>-1.6629839718758088</v>
      </c>
    </row>
    <row r="616" spans="1:34" x14ac:dyDescent="0.25">
      <c r="A616" s="402">
        <f t="shared" ca="1" si="267"/>
        <v>0.1</v>
      </c>
      <c r="B616" s="357">
        <f t="shared" ca="1" si="268"/>
        <v>25.200000000000045</v>
      </c>
      <c r="C616" s="342"/>
      <c r="D616" s="359">
        <f t="shared" ca="1" si="269"/>
        <v>-0.586527479836087</v>
      </c>
      <c r="E616" s="360">
        <f t="shared" ca="1" si="270"/>
        <v>-8.2173221062642341</v>
      </c>
      <c r="F616" s="357">
        <f t="shared" ca="1" si="271"/>
        <v>8.2382277877406214</v>
      </c>
      <c r="G616" s="359">
        <f t="shared" ca="1" si="272"/>
        <v>26.545856642128307</v>
      </c>
      <c r="H616" s="360">
        <f t="shared" ca="1" si="273"/>
        <v>-73.064577492416788</v>
      </c>
      <c r="I616" s="357">
        <f t="shared" ca="1" si="274"/>
        <v>77.737474804689953</v>
      </c>
      <c r="J616" s="359">
        <f t="shared" ca="1" si="275"/>
        <v>771.57880059821343</v>
      </c>
      <c r="K616" s="360">
        <f t="shared" ca="1" si="276"/>
        <v>1116.988956681985</v>
      </c>
      <c r="L616" s="357">
        <f t="shared" ca="1" si="261"/>
        <v>1357.5706887238273</v>
      </c>
      <c r="M616" s="359">
        <f t="shared" ca="1" si="277"/>
        <v>-1.2223043523740971</v>
      </c>
      <c r="N616" s="357">
        <f t="shared" ca="1" si="278"/>
        <v>-70.032880671507144</v>
      </c>
      <c r="O616" s="343"/>
      <c r="P616" s="363">
        <f t="shared" ca="1" si="279"/>
        <v>23</v>
      </c>
      <c r="Q616" s="357">
        <f t="shared" ca="1" si="280"/>
        <v>0</v>
      </c>
      <c r="R616" s="359">
        <f t="shared" ca="1" si="281"/>
        <v>0</v>
      </c>
      <c r="S616" s="360">
        <f t="shared" ca="1" si="282"/>
        <v>8.6519999999999992</v>
      </c>
      <c r="T616" s="357">
        <f t="shared" ca="1" si="262"/>
        <v>84.87612</v>
      </c>
      <c r="U616" s="364">
        <f t="shared" ca="1" si="263"/>
        <v>0</v>
      </c>
      <c r="V616" s="359">
        <f t="shared" ca="1" si="264"/>
        <v>1.0954065740866472</v>
      </c>
      <c r="W616" s="357">
        <f t="shared" ca="1" si="265"/>
        <v>14.983587867802646</v>
      </c>
      <c r="X616" s="343"/>
      <c r="Y616" s="367" t="str">
        <f t="shared" ca="1" si="283"/>
        <v/>
      </c>
      <c r="Z616" s="368" t="str">
        <f t="shared" ca="1" si="284"/>
        <v/>
      </c>
      <c r="AA616" s="369" t="str">
        <f t="shared" ca="1" si="285"/>
        <v/>
      </c>
      <c r="AB616" s="344"/>
      <c r="AC616" s="363" t="e">
        <f t="shared" ca="1" si="286"/>
        <v>#N/A</v>
      </c>
      <c r="AD616" s="376" t="e">
        <f t="shared" ca="1" si="287"/>
        <v>#N/A</v>
      </c>
      <c r="AE616" s="377" t="e">
        <f t="shared" ca="1" si="266"/>
        <v>#N/A</v>
      </c>
      <c r="AF616" s="344"/>
      <c r="AG616" s="359">
        <f t="shared" ca="1" si="288"/>
        <v>7.5083679310926925</v>
      </c>
      <c r="AH616" s="357">
        <f t="shared" ca="1" si="289"/>
        <v>-1.6972440478014543</v>
      </c>
    </row>
    <row r="617" spans="1:34" x14ac:dyDescent="0.25">
      <c r="A617" s="402">
        <f t="shared" ca="1" si="267"/>
        <v>0.1</v>
      </c>
      <c r="B617" s="357">
        <f t="shared" ca="1" si="268"/>
        <v>25.300000000000047</v>
      </c>
      <c r="C617" s="342"/>
      <c r="D617" s="359">
        <f t="shared" ca="1" si="269"/>
        <v>-0.59137862596510116</v>
      </c>
      <c r="E617" s="360">
        <f t="shared" ca="1" si="270"/>
        <v>-8.1822947793060248</v>
      </c>
      <c r="F617" s="357">
        <f t="shared" ca="1" si="271"/>
        <v>8.2036380060743177</v>
      </c>
      <c r="G617" s="359">
        <f t="shared" ca="1" si="272"/>
        <v>26.486718779531795</v>
      </c>
      <c r="H617" s="360">
        <f t="shared" ca="1" si="273"/>
        <v>-73.882806970347389</v>
      </c>
      <c r="I617" s="357">
        <f t="shared" ca="1" si="274"/>
        <v>78.487039933505045</v>
      </c>
      <c r="J617" s="359">
        <f t="shared" ca="1" si="275"/>
        <v>774.23042936929642</v>
      </c>
      <c r="K617" s="360">
        <f t="shared" ca="1" si="276"/>
        <v>1109.6415874588467</v>
      </c>
      <c r="L617" s="357">
        <f t="shared" ca="1" si="261"/>
        <v>1353.0473792072303</v>
      </c>
      <c r="M617" s="359">
        <f t="shared" ca="1" si="277"/>
        <v>-1.2265724927169437</v>
      </c>
      <c r="N617" s="357">
        <f t="shared" ca="1" si="278"/>
        <v>-70.277427099521773</v>
      </c>
      <c r="O617" s="343"/>
      <c r="P617" s="363">
        <f t="shared" ca="1" si="279"/>
        <v>23</v>
      </c>
      <c r="Q617" s="357">
        <f t="shared" ca="1" si="280"/>
        <v>0</v>
      </c>
      <c r="R617" s="359">
        <f t="shared" ca="1" si="281"/>
        <v>0</v>
      </c>
      <c r="S617" s="360">
        <f t="shared" ca="1" si="282"/>
        <v>8.6519999999999992</v>
      </c>
      <c r="T617" s="357">
        <f t="shared" ca="1" si="262"/>
        <v>84.87612</v>
      </c>
      <c r="U617" s="364">
        <f t="shared" ca="1" si="263"/>
        <v>0</v>
      </c>
      <c r="V617" s="359">
        <f t="shared" ca="1" si="264"/>
        <v>1.09621420901389</v>
      </c>
      <c r="W617" s="357">
        <f t="shared" ca="1" si="265"/>
        <v>15.285193665502954</v>
      </c>
      <c r="X617" s="343"/>
      <c r="Y617" s="367" t="str">
        <f t="shared" ca="1" si="283"/>
        <v/>
      </c>
      <c r="Z617" s="368" t="str">
        <f t="shared" ca="1" si="284"/>
        <v/>
      </c>
      <c r="AA617" s="369" t="str">
        <f t="shared" ca="1" si="285"/>
        <v/>
      </c>
      <c r="AB617" s="344"/>
      <c r="AC617" s="363" t="e">
        <f t="shared" ca="1" si="286"/>
        <v>#N/A</v>
      </c>
      <c r="AD617" s="376" t="e">
        <f t="shared" ca="1" si="287"/>
        <v>#N/A</v>
      </c>
      <c r="AE617" s="377" t="e">
        <f t="shared" ca="1" si="266"/>
        <v>#N/A</v>
      </c>
      <c r="AF617" s="344"/>
      <c r="AG617" s="359">
        <f t="shared" ca="1" si="288"/>
        <v>7.4885022983431568</v>
      </c>
      <c r="AH617" s="357">
        <f t="shared" ca="1" si="289"/>
        <v>-1.7318062722841709</v>
      </c>
    </row>
    <row r="618" spans="1:34" x14ac:dyDescent="0.25">
      <c r="A618" s="402">
        <f t="shared" ca="1" si="267"/>
        <v>0.1</v>
      </c>
      <c r="B618" s="357">
        <f t="shared" ca="1" si="268"/>
        <v>25.400000000000048</v>
      </c>
      <c r="C618" s="342"/>
      <c r="D618" s="359">
        <f t="shared" ca="1" si="269"/>
        <v>-0.59618994199250663</v>
      </c>
      <c r="E618" s="360">
        <f t="shared" ca="1" si="270"/>
        <v>-8.1469708128613423</v>
      </c>
      <c r="F618" s="357">
        <f t="shared" ca="1" si="271"/>
        <v>8.1687560786540576</v>
      </c>
      <c r="G618" s="359">
        <f t="shared" ca="1" si="272"/>
        <v>26.427099785332544</v>
      </c>
      <c r="H618" s="360">
        <f t="shared" ca="1" si="273"/>
        <v>-74.69750405163353</v>
      </c>
      <c r="I618" s="357">
        <f t="shared" ca="1" si="274"/>
        <v>79.23451719173741</v>
      </c>
      <c r="J618" s="359">
        <f t="shared" ca="1" si="275"/>
        <v>776.87612029753961</v>
      </c>
      <c r="K618" s="360">
        <f t="shared" ca="1" si="276"/>
        <v>1102.2125719077476</v>
      </c>
      <c r="L618" s="357">
        <f t="shared" ca="1" si="261"/>
        <v>1348.4839858003686</v>
      </c>
      <c r="M618" s="359">
        <f t="shared" ca="1" si="277"/>
        <v>-1.2307506623196283</v>
      </c>
      <c r="N618" s="357">
        <f t="shared" ca="1" si="278"/>
        <v>-70.516818583845463</v>
      </c>
      <c r="O618" s="343"/>
      <c r="P618" s="363">
        <f t="shared" ca="1" si="279"/>
        <v>23</v>
      </c>
      <c r="Q618" s="357">
        <f t="shared" ca="1" si="280"/>
        <v>0</v>
      </c>
      <c r="R618" s="359">
        <f t="shared" ca="1" si="281"/>
        <v>0</v>
      </c>
      <c r="S618" s="360">
        <f t="shared" ca="1" si="282"/>
        <v>8.6519999999999992</v>
      </c>
      <c r="T618" s="357">
        <f t="shared" ca="1" si="262"/>
        <v>84.87612</v>
      </c>
      <c r="U618" s="364">
        <f t="shared" ca="1" si="263"/>
        <v>0</v>
      </c>
      <c r="V618" s="359">
        <f t="shared" ca="1" si="264"/>
        <v>1.097031390453866</v>
      </c>
      <c r="W618" s="357">
        <f t="shared" ca="1" si="265"/>
        <v>15.589331936854395</v>
      </c>
      <c r="X618" s="343"/>
      <c r="Y618" s="367" t="str">
        <f t="shared" ca="1" si="283"/>
        <v/>
      </c>
      <c r="Z618" s="368" t="str">
        <f t="shared" ca="1" si="284"/>
        <v/>
      </c>
      <c r="AA618" s="369" t="str">
        <f t="shared" ca="1" si="285"/>
        <v/>
      </c>
      <c r="AB618" s="344"/>
      <c r="AC618" s="363" t="e">
        <f t="shared" ca="1" si="286"/>
        <v>#N/A</v>
      </c>
      <c r="AD618" s="376" t="e">
        <f t="shared" ca="1" si="287"/>
        <v>#N/A</v>
      </c>
      <c r="AE618" s="377" t="e">
        <f t="shared" ca="1" si="266"/>
        <v>#N/A</v>
      </c>
      <c r="AF618" s="344"/>
      <c r="AG618" s="359">
        <f t="shared" ca="1" si="288"/>
        <v>7.4678565674476021</v>
      </c>
      <c r="AH618" s="357">
        <f t="shared" ca="1" si="289"/>
        <v>-1.7666659345241511</v>
      </c>
    </row>
    <row r="619" spans="1:34" x14ac:dyDescent="0.25">
      <c r="A619" s="402">
        <f t="shared" ca="1" si="267"/>
        <v>0.1</v>
      </c>
      <c r="B619" s="357">
        <f t="shared" ca="1" si="268"/>
        <v>25.50000000000005</v>
      </c>
      <c r="C619" s="342"/>
      <c r="D619" s="359">
        <f t="shared" ca="1" si="269"/>
        <v>-0.60096071400247053</v>
      </c>
      <c r="E619" s="360">
        <f t="shared" ca="1" si="270"/>
        <v>-8.1113548314527151</v>
      </c>
      <c r="F619" s="357">
        <f t="shared" ca="1" si="271"/>
        <v>8.1335866001110269</v>
      </c>
      <c r="G619" s="359">
        <f t="shared" ca="1" si="272"/>
        <v>26.367003713932299</v>
      </c>
      <c r="H619" s="360">
        <f t="shared" ca="1" si="273"/>
        <v>-75.508639534778808</v>
      </c>
      <c r="I619" s="357">
        <f t="shared" ca="1" si="274"/>
        <v>79.979832015600536</v>
      </c>
      <c r="J619" s="359">
        <f t="shared" ca="1" si="275"/>
        <v>779.51582547250291</v>
      </c>
      <c r="K619" s="360">
        <f t="shared" ca="1" si="276"/>
        <v>1094.7022647284271</v>
      </c>
      <c r="L619" s="357">
        <f t="shared" ca="1" si="261"/>
        <v>1343.8816802693698</v>
      </c>
      <c r="M619" s="359">
        <f t="shared" ca="1" si="277"/>
        <v>-1.2348416184255728</v>
      </c>
      <c r="N619" s="357">
        <f t="shared" ca="1" si="278"/>
        <v>-70.751213102889352</v>
      </c>
      <c r="O619" s="343"/>
      <c r="P619" s="363">
        <f t="shared" ca="1" si="279"/>
        <v>23</v>
      </c>
      <c r="Q619" s="357">
        <f t="shared" ca="1" si="280"/>
        <v>0</v>
      </c>
      <c r="R619" s="359">
        <f t="shared" ca="1" si="281"/>
        <v>0</v>
      </c>
      <c r="S619" s="360">
        <f t="shared" ca="1" si="282"/>
        <v>8.6519999999999992</v>
      </c>
      <c r="T619" s="357">
        <f t="shared" ca="1" si="262"/>
        <v>84.87612</v>
      </c>
      <c r="U619" s="364">
        <f t="shared" ca="1" si="263"/>
        <v>0</v>
      </c>
      <c r="V619" s="359">
        <f t="shared" ca="1" si="264"/>
        <v>1.0978580989232949</v>
      </c>
      <c r="W619" s="357">
        <f t="shared" ca="1" si="265"/>
        <v>15.895961533583305</v>
      </c>
      <c r="X619" s="343"/>
      <c r="Y619" s="367" t="str">
        <f t="shared" ca="1" si="283"/>
        <v/>
      </c>
      <c r="Z619" s="368" t="str">
        <f t="shared" ca="1" si="284"/>
        <v/>
      </c>
      <c r="AA619" s="369" t="str">
        <f t="shared" ca="1" si="285"/>
        <v/>
      </c>
      <c r="AB619" s="344"/>
      <c r="AC619" s="363" t="e">
        <f t="shared" ca="1" si="286"/>
        <v>#N/A</v>
      </c>
      <c r="AD619" s="376" t="e">
        <f t="shared" ca="1" si="287"/>
        <v>#N/A</v>
      </c>
      <c r="AE619" s="377" t="e">
        <f t="shared" ca="1" si="266"/>
        <v>#N/A</v>
      </c>
      <c r="AF619" s="344"/>
      <c r="AG619" s="359">
        <f t="shared" ca="1" si="288"/>
        <v>7.446455566869985</v>
      </c>
      <c r="AH619" s="357">
        <f t="shared" ca="1" si="289"/>
        <v>-1.8018183006073043</v>
      </c>
    </row>
    <row r="620" spans="1:34" x14ac:dyDescent="0.25">
      <c r="A620" s="402">
        <f t="shared" ca="1" si="267"/>
        <v>0.1</v>
      </c>
      <c r="B620" s="357">
        <f t="shared" ca="1" si="268"/>
        <v>25.600000000000051</v>
      </c>
      <c r="C620" s="342"/>
      <c r="D620" s="359">
        <f t="shared" ca="1" si="269"/>
        <v>-0.60569025332984694</v>
      </c>
      <c r="E620" s="360">
        <f t="shared" ca="1" si="270"/>
        <v>-8.0754514898768726</v>
      </c>
      <c r="F620" s="357">
        <f t="shared" ca="1" si="271"/>
        <v>8.0981341955004282</v>
      </c>
      <c r="G620" s="359">
        <f t="shared" ca="1" si="272"/>
        <v>26.306434688599314</v>
      </c>
      <c r="H620" s="360">
        <f t="shared" ca="1" si="273"/>
        <v>-76.316184683766494</v>
      </c>
      <c r="I620" s="357">
        <f t="shared" ca="1" si="274"/>
        <v>80.722912179332937</v>
      </c>
      <c r="J620" s="359">
        <f t="shared" ca="1" si="275"/>
        <v>782.14949739262954</v>
      </c>
      <c r="K620" s="360">
        <f t="shared" ca="1" si="276"/>
        <v>1087.1110235174997</v>
      </c>
      <c r="L620" s="357">
        <f t="shared" ca="1" si="261"/>
        <v>1339.2416562087699</v>
      </c>
      <c r="M620" s="359">
        <f t="shared" ca="1" si="277"/>
        <v>-1.2388480122772081</v>
      </c>
      <c r="N620" s="357">
        <f t="shared" ca="1" si="278"/>
        <v>-70.980762561655212</v>
      </c>
      <c r="O620" s="343"/>
      <c r="P620" s="363">
        <f t="shared" ca="1" si="279"/>
        <v>23</v>
      </c>
      <c r="Q620" s="357">
        <f t="shared" ca="1" si="280"/>
        <v>0</v>
      </c>
      <c r="R620" s="359">
        <f t="shared" ca="1" si="281"/>
        <v>0</v>
      </c>
      <c r="S620" s="360">
        <f t="shared" ca="1" si="282"/>
        <v>8.6519999999999992</v>
      </c>
      <c r="T620" s="357">
        <f t="shared" ca="1" si="262"/>
        <v>84.87612</v>
      </c>
      <c r="U620" s="364">
        <f t="shared" ca="1" si="263"/>
        <v>0</v>
      </c>
      <c r="V620" s="359">
        <f t="shared" ca="1" si="264"/>
        <v>1.0986943147571291</v>
      </c>
      <c r="W620" s="357">
        <f t="shared" ca="1" si="265"/>
        <v>16.205041126522463</v>
      </c>
      <c r="X620" s="343"/>
      <c r="Y620" s="367" t="str">
        <f t="shared" ca="1" si="283"/>
        <v/>
      </c>
      <c r="Z620" s="368" t="str">
        <f t="shared" ca="1" si="284"/>
        <v/>
      </c>
      <c r="AA620" s="369" t="str">
        <f t="shared" ca="1" si="285"/>
        <v/>
      </c>
      <c r="AB620" s="344"/>
      <c r="AC620" s="363" t="e">
        <f t="shared" ca="1" si="286"/>
        <v>#N/A</v>
      </c>
      <c r="AD620" s="376" t="e">
        <f t="shared" ca="1" si="287"/>
        <v>#N/A</v>
      </c>
      <c r="AE620" s="377" t="e">
        <f t="shared" ca="1" si="266"/>
        <v>#N/A</v>
      </c>
      <c r="AF620" s="344"/>
      <c r="AG620" s="359">
        <f t="shared" ca="1" si="288"/>
        <v>7.4243231513019579</v>
      </c>
      <c r="AH620" s="357">
        <f t="shared" ca="1" si="289"/>
        <v>-1.8372586146074095</v>
      </c>
    </row>
    <row r="621" spans="1:34" x14ac:dyDescent="0.25">
      <c r="A621" s="402">
        <f t="shared" ca="1" si="267"/>
        <v>0.1</v>
      </c>
      <c r="B621" s="357">
        <f t="shared" ca="1" si="268"/>
        <v>25.700000000000053</v>
      </c>
      <c r="C621" s="342"/>
      <c r="D621" s="359">
        <f t="shared" ca="1" si="269"/>
        <v>-0.61037789579448853</v>
      </c>
      <c r="E621" s="360">
        <f t="shared" ca="1" si="270"/>
        <v>-8.0392654715947298</v>
      </c>
      <c r="F621" s="357">
        <f t="shared" ca="1" si="271"/>
        <v>8.0624035187064251</v>
      </c>
      <c r="G621" s="359">
        <f t="shared" ca="1" si="272"/>
        <v>26.245396899019866</v>
      </c>
      <c r="H621" s="360">
        <f t="shared" ca="1" si="273"/>
        <v>-77.120111230925971</v>
      </c>
      <c r="I621" s="357">
        <f t="shared" ca="1" si="274"/>
        <v>81.463687705980234</v>
      </c>
      <c r="J621" s="359">
        <f t="shared" ca="1" si="275"/>
        <v>784.77708897201046</v>
      </c>
      <c r="K621" s="360">
        <f t="shared" ca="1" si="276"/>
        <v>1079.439208721765</v>
      </c>
      <c r="L621" s="357">
        <f t="shared" ca="1" si="261"/>
        <v>1334.5651294340239</v>
      </c>
      <c r="M621" s="359">
        <f t="shared" ca="1" si="277"/>
        <v>-1.2427723938443447</v>
      </c>
      <c r="N621" s="357">
        <f t="shared" ca="1" si="278"/>
        <v>-71.205613062651082</v>
      </c>
      <c r="O621" s="343"/>
      <c r="P621" s="363">
        <f t="shared" ca="1" si="279"/>
        <v>23</v>
      </c>
      <c r="Q621" s="357">
        <f t="shared" ca="1" si="280"/>
        <v>0</v>
      </c>
      <c r="R621" s="359">
        <f t="shared" ca="1" si="281"/>
        <v>0</v>
      </c>
      <c r="S621" s="360">
        <f t="shared" ca="1" si="282"/>
        <v>8.6519999999999992</v>
      </c>
      <c r="T621" s="357">
        <f t="shared" ca="1" si="262"/>
        <v>84.87612</v>
      </c>
      <c r="U621" s="364">
        <f t="shared" ca="1" si="263"/>
        <v>0</v>
      </c>
      <c r="V621" s="359">
        <f t="shared" ca="1" si="264"/>
        <v>1.0995400181104398</v>
      </c>
      <c r="W621" s="357">
        <f t="shared" ca="1" si="265"/>
        <v>16.516529215181613</v>
      </c>
      <c r="X621" s="343"/>
      <c r="Y621" s="367" t="str">
        <f t="shared" ca="1" si="283"/>
        <v/>
      </c>
      <c r="Z621" s="368" t="str">
        <f t="shared" ca="1" si="284"/>
        <v/>
      </c>
      <c r="AA621" s="369" t="str">
        <f t="shared" ca="1" si="285"/>
        <v/>
      </c>
      <c r="AB621" s="344"/>
      <c r="AC621" s="363" t="e">
        <f t="shared" ca="1" si="286"/>
        <v>#N/A</v>
      </c>
      <c r="AD621" s="376" t="e">
        <f t="shared" ca="1" si="287"/>
        <v>#N/A</v>
      </c>
      <c r="AE621" s="377" t="e">
        <f t="shared" ca="1" si="266"/>
        <v>#N/A</v>
      </c>
      <c r="AF621" s="344"/>
      <c r="AG621" s="359">
        <f t="shared" ca="1" si="288"/>
        <v>7.4014822566564327</v>
      </c>
      <c r="AH621" s="357">
        <f t="shared" ca="1" si="289"/>
        <v>-1.87298209969053</v>
      </c>
    </row>
    <row r="622" spans="1:34" x14ac:dyDescent="0.25">
      <c r="A622" s="402">
        <f t="shared" ca="1" si="267"/>
        <v>0.1</v>
      </c>
      <c r="B622" s="357">
        <f t="shared" ca="1" si="268"/>
        <v>25.800000000000054</v>
      </c>
      <c r="C622" s="342"/>
      <c r="D622" s="359">
        <f t="shared" ca="1" si="269"/>
        <v>-0.6150230009774541</v>
      </c>
      <c r="E622" s="360">
        <f t="shared" ca="1" si="270"/>
        <v>-8.0028014871540982</v>
      </c>
      <c r="F622" s="357">
        <f t="shared" ca="1" si="271"/>
        <v>8.0263992508800079</v>
      </c>
      <c r="G622" s="359">
        <f t="shared" ca="1" si="272"/>
        <v>26.183894598922119</v>
      </c>
      <c r="H622" s="360">
        <f t="shared" ca="1" si="273"/>
        <v>-77.920391379641387</v>
      </c>
      <c r="I622" s="357">
        <f t="shared" ca="1" si="274"/>
        <v>82.20209078316654</v>
      </c>
      <c r="J622" s="359">
        <f t="shared" ca="1" si="275"/>
        <v>787.39855354690758</v>
      </c>
      <c r="K622" s="360">
        <f t="shared" ca="1" si="276"/>
        <v>1071.6871835912366</v>
      </c>
      <c r="L622" s="357">
        <f t="shared" ca="1" si="261"/>
        <v>1329.853338380394</v>
      </c>
      <c r="M622" s="359">
        <f t="shared" ca="1" si="277"/>
        <v>-1.2466172163225686</v>
      </c>
      <c r="N622" s="357">
        <f t="shared" ca="1" si="278"/>
        <v>-71.425905163630347</v>
      </c>
      <c r="O622" s="343"/>
      <c r="P622" s="363">
        <f t="shared" ca="1" si="279"/>
        <v>23</v>
      </c>
      <c r="Q622" s="357">
        <f t="shared" ca="1" si="280"/>
        <v>0</v>
      </c>
      <c r="R622" s="359">
        <f t="shared" ca="1" si="281"/>
        <v>0</v>
      </c>
      <c r="S622" s="360">
        <f t="shared" ca="1" si="282"/>
        <v>8.6519999999999992</v>
      </c>
      <c r="T622" s="357">
        <f t="shared" ca="1" si="262"/>
        <v>84.87612</v>
      </c>
      <c r="U622" s="364">
        <f t="shared" ca="1" si="263"/>
        <v>0</v>
      </c>
      <c r="V622" s="359">
        <f t="shared" ca="1" si="264"/>
        <v>1.1003951889603252</v>
      </c>
      <c r="W622" s="357">
        <f t="shared" ca="1" si="265"/>
        <v>16.830384137328871</v>
      </c>
      <c r="X622" s="343"/>
      <c r="Y622" s="367" t="str">
        <f t="shared" ca="1" si="283"/>
        <v/>
      </c>
      <c r="Z622" s="368" t="str">
        <f t="shared" ca="1" si="284"/>
        <v/>
      </c>
      <c r="AA622" s="369" t="str">
        <f t="shared" ca="1" si="285"/>
        <v/>
      </c>
      <c r="AB622" s="344"/>
      <c r="AC622" s="363" t="e">
        <f t="shared" ca="1" si="286"/>
        <v>#N/A</v>
      </c>
      <c r="AD622" s="376" t="e">
        <f t="shared" ca="1" si="287"/>
        <v>#N/A</v>
      </c>
      <c r="AE622" s="377" t="e">
        <f t="shared" ca="1" si="266"/>
        <v>#N/A</v>
      </c>
      <c r="AF622" s="344"/>
      <c r="AG622" s="359">
        <f t="shared" ca="1" si="288"/>
        <v>7.3779549515967009</v>
      </c>
      <c r="AH622" s="357">
        <f t="shared" ca="1" si="289"/>
        <v>-1.9089839592211759</v>
      </c>
    </row>
    <row r="623" spans="1:34" x14ac:dyDescent="0.25">
      <c r="A623" s="402">
        <f t="shared" ca="1" si="267"/>
        <v>0.1</v>
      </c>
      <c r="B623" s="357">
        <f t="shared" ca="1" si="268"/>
        <v>25.900000000000055</v>
      </c>
      <c r="C623" s="342"/>
      <c r="D623" s="359">
        <f t="shared" ca="1" si="269"/>
        <v>-0.619624951536344</v>
      </c>
      <c r="E623" s="360">
        <f t="shared" ca="1" si="270"/>
        <v>-7.9660642726429707</v>
      </c>
      <c r="F623" s="357">
        <f t="shared" ca="1" si="271"/>
        <v>7.990126098907651</v>
      </c>
      <c r="G623" s="359">
        <f t="shared" ca="1" si="272"/>
        <v>26.121932103768486</v>
      </c>
      <c r="H623" s="360">
        <f t="shared" ca="1" si="273"/>
        <v>-78.716997806905681</v>
      </c>
      <c r="I623" s="357">
        <f t="shared" ca="1" si="274"/>
        <v>82.938055683541819</v>
      </c>
      <c r="J623" s="359">
        <f t="shared" ca="1" si="275"/>
        <v>790.01384488204212</v>
      </c>
      <c r="K623" s="360">
        <f t="shared" ca="1" si="276"/>
        <v>1063.8553141319092</v>
      </c>
      <c r="L623" s="357">
        <f t="shared" ca="1" si="261"/>
        <v>1325.107544507996</v>
      </c>
      <c r="M623" s="359">
        <f t="shared" ca="1" si="277"/>
        <v>-1.2503848404129356</v>
      </c>
      <c r="N623" s="357">
        <f t="shared" ca="1" si="278"/>
        <v>-71.641774122800186</v>
      </c>
      <c r="O623" s="343"/>
      <c r="P623" s="363">
        <f t="shared" ca="1" si="279"/>
        <v>23</v>
      </c>
      <c r="Q623" s="357">
        <f t="shared" ca="1" si="280"/>
        <v>0</v>
      </c>
      <c r="R623" s="359">
        <f t="shared" ca="1" si="281"/>
        <v>0</v>
      </c>
      <c r="S623" s="360">
        <f t="shared" ca="1" si="282"/>
        <v>8.6519999999999992</v>
      </c>
      <c r="T623" s="357">
        <f t="shared" ca="1" si="262"/>
        <v>84.87612</v>
      </c>
      <c r="U623" s="364">
        <f t="shared" ca="1" si="263"/>
        <v>0</v>
      </c>
      <c r="V623" s="359">
        <f t="shared" ca="1" si="264"/>
        <v>1.1012598071078425</v>
      </c>
      <c r="W623" s="357">
        <f t="shared" ca="1" si="265"/>
        <v>17.146564078578663</v>
      </c>
      <c r="X623" s="343"/>
      <c r="Y623" s="367" t="str">
        <f t="shared" ca="1" si="283"/>
        <v/>
      </c>
      <c r="Z623" s="368" t="str">
        <f t="shared" ca="1" si="284"/>
        <v/>
      </c>
      <c r="AA623" s="369" t="str">
        <f t="shared" ca="1" si="285"/>
        <v/>
      </c>
      <c r="AB623" s="344"/>
      <c r="AC623" s="363" t="e">
        <f t="shared" ca="1" si="286"/>
        <v>#N/A</v>
      </c>
      <c r="AD623" s="376" t="e">
        <f t="shared" ca="1" si="287"/>
        <v>#N/A</v>
      </c>
      <c r="AE623" s="377" t="e">
        <f t="shared" ca="1" si="266"/>
        <v>#N/A</v>
      </c>
      <c r="AF623" s="344"/>
      <c r="AG623" s="359">
        <f t="shared" ca="1" si="288"/>
        <v>7.3537624858274029</v>
      </c>
      <c r="AH623" s="357">
        <f t="shared" ca="1" si="289"/>
        <v>-1.9452593778697262</v>
      </c>
    </row>
    <row r="624" spans="1:34" x14ac:dyDescent="0.25">
      <c r="A624" s="402">
        <f t="shared" ca="1" si="267"/>
        <v>0.1</v>
      </c>
      <c r="B624" s="357">
        <f t="shared" ca="1" si="268"/>
        <v>26.000000000000057</v>
      </c>
      <c r="C624" s="342"/>
      <c r="D624" s="359">
        <f t="shared" ca="1" si="269"/>
        <v>-0.62418315255718892</v>
      </c>
      <c r="E624" s="360">
        <f t="shared" ca="1" si="270"/>
        <v>-7.9290585881714541</v>
      </c>
      <c r="F624" s="357">
        <f t="shared" ca="1" si="271"/>
        <v>7.9535887939088052</v>
      </c>
      <c r="G624" s="359">
        <f t="shared" ca="1" si="272"/>
        <v>26.059513788512767</v>
      </c>
      <c r="H624" s="360">
        <f t="shared" ca="1" si="273"/>
        <v>-79.509903665722831</v>
      </c>
      <c r="I624" s="357">
        <f t="shared" ca="1" si="274"/>
        <v>83.671518689612725</v>
      </c>
      <c r="J624" s="359">
        <f t="shared" ca="1" si="275"/>
        <v>792.62291717665619</v>
      </c>
      <c r="K624" s="360">
        <f t="shared" ca="1" si="276"/>
        <v>1055.9439690582776</v>
      </c>
      <c r="L624" s="357">
        <f t="shared" ca="1" si="261"/>
        <v>1320.3290327127481</v>
      </c>
      <c r="M624" s="359">
        <f t="shared" ca="1" si="277"/>
        <v>-1.2540775383937777</v>
      </c>
      <c r="N624" s="357">
        <f t="shared" ca="1" si="278"/>
        <v>-71.853350132118919</v>
      </c>
      <c r="O624" s="343"/>
      <c r="P624" s="363">
        <f t="shared" ca="1" si="279"/>
        <v>23</v>
      </c>
      <c r="Q624" s="357">
        <f t="shared" ca="1" si="280"/>
        <v>0</v>
      </c>
      <c r="R624" s="359">
        <f t="shared" ca="1" si="281"/>
        <v>0</v>
      </c>
      <c r="S624" s="360">
        <f t="shared" ca="1" si="282"/>
        <v>8.6519999999999992</v>
      </c>
      <c r="T624" s="357">
        <f t="shared" ca="1" si="262"/>
        <v>84.87612</v>
      </c>
      <c r="U624" s="364">
        <f t="shared" ca="1" si="263"/>
        <v>0</v>
      </c>
      <c r="V624" s="359">
        <f t="shared" ca="1" si="264"/>
        <v>1.1021338521799608</v>
      </c>
      <c r="W624" s="357">
        <f t="shared" ca="1" si="265"/>
        <v>17.465027081982129</v>
      </c>
      <c r="X624" s="343"/>
      <c r="Y624" s="367" t="str">
        <f t="shared" ca="1" si="283"/>
        <v/>
      </c>
      <c r="Z624" s="368" t="str">
        <f t="shared" ca="1" si="284"/>
        <v/>
      </c>
      <c r="AA624" s="369" t="str">
        <f t="shared" ca="1" si="285"/>
        <v/>
      </c>
      <c r="AB624" s="344"/>
      <c r="AC624" s="363">
        <f t="shared" ca="1" si="286"/>
        <v>26.000000000000057</v>
      </c>
      <c r="AD624" s="376">
        <f t="shared" ca="1" si="287"/>
        <v>792.62291717665619</v>
      </c>
      <c r="AE624" s="377" t="e">
        <f t="shared" ca="1" si="266"/>
        <v>#N/A</v>
      </c>
      <c r="AF624" s="344"/>
      <c r="AG624" s="359">
        <f t="shared" ca="1" si="288"/>
        <v>7.3289253353587451</v>
      </c>
      <c r="AH624" s="357">
        <f t="shared" ca="1" si="289"/>
        <v>-1.9818035227206039</v>
      </c>
    </row>
    <row r="625" spans="1:34" x14ac:dyDescent="0.25">
      <c r="A625" s="402">
        <f t="shared" ca="1" si="267"/>
        <v>0.1</v>
      </c>
      <c r="B625" s="357">
        <f t="shared" ca="1" si="268"/>
        <v>26.100000000000058</v>
      </c>
      <c r="C625" s="342"/>
      <c r="D625" s="359">
        <f t="shared" ca="1" si="269"/>
        <v>-0.62869703094048512</v>
      </c>
      <c r="E625" s="360">
        <f t="shared" ca="1" si="270"/>
        <v>-7.8917892163805883</v>
      </c>
      <c r="F625" s="357">
        <f t="shared" ca="1" si="271"/>
        <v>7.9167920897604933</v>
      </c>
      <c r="G625" s="359">
        <f t="shared" ca="1" si="272"/>
        <v>25.996644085418719</v>
      </c>
      <c r="H625" s="360">
        <f t="shared" ca="1" si="273"/>
        <v>-80.299082587360886</v>
      </c>
      <c r="I625" s="357">
        <f t="shared" ca="1" si="274"/>
        <v>84.402418022683094</v>
      </c>
      <c r="J625" s="359">
        <f t="shared" ca="1" si="275"/>
        <v>795.22572507035272</v>
      </c>
      <c r="K625" s="360">
        <f t="shared" ca="1" si="276"/>
        <v>1047.9535197456235</v>
      </c>
      <c r="L625" s="357">
        <f t="shared" ca="1" si="261"/>
        <v>1315.5191117429306</v>
      </c>
      <c r="M625" s="359">
        <f t="shared" ca="1" si="277"/>
        <v>-1.2576974979949667</v>
      </c>
      <c r="N625" s="357">
        <f t="shared" ca="1" si="278"/>
        <v>-72.0607585392749</v>
      </c>
      <c r="O625" s="343"/>
      <c r="P625" s="363">
        <f t="shared" ca="1" si="279"/>
        <v>23</v>
      </c>
      <c r="Q625" s="357">
        <f t="shared" ca="1" si="280"/>
        <v>0</v>
      </c>
      <c r="R625" s="359">
        <f t="shared" ca="1" si="281"/>
        <v>0</v>
      </c>
      <c r="S625" s="360">
        <f t="shared" ca="1" si="282"/>
        <v>8.6519999999999992</v>
      </c>
      <c r="T625" s="357">
        <f t="shared" ca="1" si="262"/>
        <v>84.87612</v>
      </c>
      <c r="U625" s="364">
        <f t="shared" ca="1" si="263"/>
        <v>0</v>
      </c>
      <c r="V625" s="359">
        <f t="shared" ca="1" si="264"/>
        <v>1.1030173036315312</v>
      </c>
      <c r="W625" s="357">
        <f t="shared" ca="1" si="265"/>
        <v>17.785731057615713</v>
      </c>
      <c r="X625" s="343"/>
      <c r="Y625" s="367" t="str">
        <f t="shared" ca="1" si="283"/>
        <v/>
      </c>
      <c r="Z625" s="368" t="str">
        <f t="shared" ca="1" si="284"/>
        <v/>
      </c>
      <c r="AA625" s="369" t="str">
        <f t="shared" ca="1" si="285"/>
        <v/>
      </c>
      <c r="AB625" s="344"/>
      <c r="AC625" s="363" t="e">
        <f t="shared" ca="1" si="286"/>
        <v>#N/A</v>
      </c>
      <c r="AD625" s="376" t="e">
        <f t="shared" ca="1" si="287"/>
        <v>#N/A</v>
      </c>
      <c r="AE625" s="377" t="e">
        <f t="shared" ca="1" si="266"/>
        <v>#N/A</v>
      </c>
      <c r="AF625" s="344"/>
      <c r="AG625" s="359">
        <f t="shared" ca="1" si="288"/>
        <v>7.3034632449414758</v>
      </c>
      <c r="AH625" s="357">
        <f t="shared" ca="1" si="289"/>
        <v>-2.0186115443807364</v>
      </c>
    </row>
    <row r="626" spans="1:34" x14ac:dyDescent="0.25">
      <c r="A626" s="402">
        <f t="shared" ca="1" si="267"/>
        <v>0.1</v>
      </c>
      <c r="B626" s="357">
        <f t="shared" ca="1" si="268"/>
        <v>26.20000000000006</v>
      </c>
      <c r="C626" s="342"/>
      <c r="D626" s="359">
        <f t="shared" ca="1" si="269"/>
        <v>-0.63316603481912337</v>
      </c>
      <c r="E626" s="360">
        <f t="shared" ca="1" si="270"/>
        <v>-7.8542609609765055</v>
      </c>
      <c r="F626" s="357">
        <f t="shared" ca="1" si="271"/>
        <v>7.8797407616474384</v>
      </c>
      <c r="G626" s="359">
        <f t="shared" ca="1" si="272"/>
        <v>25.933327481936807</v>
      </c>
      <c r="H626" s="360">
        <f t="shared" ca="1" si="273"/>
        <v>-81.084508683458537</v>
      </c>
      <c r="I626" s="357">
        <f t="shared" ca="1" si="274"/>
        <v>85.130693775648524</v>
      </c>
      <c r="J626" s="359">
        <f t="shared" ca="1" si="275"/>
        <v>797.82222364872052</v>
      </c>
      <c r="K626" s="360">
        <f t="shared" ca="1" si="276"/>
        <v>1039.8843401820825</v>
      </c>
      <c r="L626" s="357">
        <f t="shared" ca="1" si="261"/>
        <v>1310.6791146210098</v>
      </c>
      <c r="M626" s="359">
        <f t="shared" ca="1" si="277"/>
        <v>-1.2612468260845249</v>
      </c>
      <c r="N626" s="357">
        <f t="shared" ca="1" si="278"/>
        <v>-72.264120058913818</v>
      </c>
      <c r="O626" s="343"/>
      <c r="P626" s="363">
        <f t="shared" ca="1" si="279"/>
        <v>23</v>
      </c>
      <c r="Q626" s="357">
        <f t="shared" ca="1" si="280"/>
        <v>0</v>
      </c>
      <c r="R626" s="359">
        <f t="shared" ca="1" si="281"/>
        <v>0</v>
      </c>
      <c r="S626" s="360">
        <f t="shared" ca="1" si="282"/>
        <v>8.6519999999999992</v>
      </c>
      <c r="T626" s="357">
        <f t="shared" ca="1" si="262"/>
        <v>84.87612</v>
      </c>
      <c r="U626" s="364">
        <f t="shared" ca="1" si="263"/>
        <v>0</v>
      </c>
      <c r="V626" s="359">
        <f t="shared" ca="1" si="264"/>
        <v>1.1039101407472829</v>
      </c>
      <c r="W626" s="357">
        <f t="shared" ca="1" si="265"/>
        <v>18.108633792164177</v>
      </c>
      <c r="X626" s="343"/>
      <c r="Y626" s="367" t="str">
        <f t="shared" ca="1" si="283"/>
        <v/>
      </c>
      <c r="Z626" s="368" t="str">
        <f t="shared" ca="1" si="284"/>
        <v/>
      </c>
      <c r="AA626" s="369" t="str">
        <f t="shared" ca="1" si="285"/>
        <v/>
      </c>
      <c r="AB626" s="344"/>
      <c r="AC626" s="363" t="e">
        <f t="shared" ca="1" si="286"/>
        <v>#N/A</v>
      </c>
      <c r="AD626" s="376" t="e">
        <f t="shared" ca="1" si="287"/>
        <v>#N/A</v>
      </c>
      <c r="AE626" s="377" t="e">
        <f t="shared" ca="1" si="266"/>
        <v>#N/A</v>
      </c>
      <c r="AF626" s="344"/>
      <c r="AG626" s="359">
        <f t="shared" ca="1" si="288"/>
        <v>7.277395267857071</v>
      </c>
      <c r="AH626" s="357">
        <f t="shared" ca="1" si="289"/>
        <v>-2.0556785780878082</v>
      </c>
    </row>
    <row r="627" spans="1:34" x14ac:dyDescent="0.25">
      <c r="A627" s="402">
        <f t="shared" ca="1" si="267"/>
        <v>0.1</v>
      </c>
      <c r="B627" s="357">
        <f t="shared" ca="1" si="268"/>
        <v>26.300000000000061</v>
      </c>
      <c r="C627" s="342"/>
      <c r="D627" s="359">
        <f t="shared" ca="1" si="269"/>
        <v>-0.63758963300611737</v>
      </c>
      <c r="E627" s="360">
        <f t="shared" ca="1" si="270"/>
        <v>-7.8164786452885</v>
      </c>
      <c r="F627" s="357">
        <f t="shared" ca="1" si="271"/>
        <v>7.8424396046363034</v>
      </c>
      <c r="G627" s="359">
        <f t="shared" ca="1" si="272"/>
        <v>25.869568518636196</v>
      </c>
      <c r="H627" s="360">
        <f t="shared" ca="1" si="273"/>
        <v>-81.866156547987387</v>
      </c>
      <c r="I627" s="357">
        <f t="shared" ca="1" si="274"/>
        <v>85.856287849405604</v>
      </c>
      <c r="J627" s="359">
        <f t="shared" ca="1" si="275"/>
        <v>800.41236844874913</v>
      </c>
      <c r="K627" s="360">
        <f t="shared" ca="1" si="276"/>
        <v>1031.7368069205102</v>
      </c>
      <c r="L627" s="357">
        <f t="shared" ca="1" si="261"/>
        <v>1305.8103990703498</v>
      </c>
      <c r="M627" s="359">
        <f t="shared" ca="1" si="277"/>
        <v>-1.2647275521770149</v>
      </c>
      <c r="N627" s="357">
        <f t="shared" ca="1" si="278"/>
        <v>-72.463550973654563</v>
      </c>
      <c r="O627" s="343"/>
      <c r="P627" s="363">
        <f t="shared" ca="1" si="279"/>
        <v>23</v>
      </c>
      <c r="Q627" s="357">
        <f t="shared" ca="1" si="280"/>
        <v>0</v>
      </c>
      <c r="R627" s="359">
        <f t="shared" ca="1" si="281"/>
        <v>0</v>
      </c>
      <c r="S627" s="360">
        <f t="shared" ca="1" si="282"/>
        <v>8.6519999999999992</v>
      </c>
      <c r="T627" s="357">
        <f t="shared" ca="1" si="262"/>
        <v>84.87612</v>
      </c>
      <c r="U627" s="364">
        <f t="shared" ca="1" si="263"/>
        <v>0</v>
      </c>
      <c r="V627" s="359">
        <f t="shared" ca="1" si="264"/>
        <v>1.1048123426438328</v>
      </c>
      <c r="W627" s="357">
        <f t="shared" ca="1" si="265"/>
        <v>18.433692958493715</v>
      </c>
      <c r="X627" s="343"/>
      <c r="Y627" s="367" t="str">
        <f t="shared" ca="1" si="283"/>
        <v/>
      </c>
      <c r="Z627" s="368" t="str">
        <f t="shared" ca="1" si="284"/>
        <v/>
      </c>
      <c r="AA627" s="369" t="str">
        <f t="shared" ca="1" si="285"/>
        <v/>
      </c>
      <c r="AB627" s="344"/>
      <c r="AC627" s="363" t="e">
        <f t="shared" ca="1" si="286"/>
        <v>#N/A</v>
      </c>
      <c r="AD627" s="376" t="e">
        <f t="shared" ca="1" si="287"/>
        <v>#N/A</v>
      </c>
      <c r="AE627" s="377" t="e">
        <f t="shared" ca="1" si="266"/>
        <v>#N/A</v>
      </c>
      <c r="AF627" s="344"/>
      <c r="AG627" s="359">
        <f t="shared" ca="1" si="288"/>
        <v>7.2507398032352732</v>
      </c>
      <c r="AH627" s="357">
        <f t="shared" ca="1" si="289"/>
        <v>-2.0929997448178663</v>
      </c>
    </row>
    <row r="628" spans="1:34" x14ac:dyDescent="0.25">
      <c r="A628" s="402">
        <f t="shared" ca="1" si="267"/>
        <v>0.1</v>
      </c>
      <c r="B628" s="357">
        <f t="shared" ca="1" si="268"/>
        <v>26.400000000000063</v>
      </c>
      <c r="C628" s="342"/>
      <c r="D628" s="359">
        <f t="shared" ca="1" si="269"/>
        <v>-0.64196731447016575</v>
      </c>
      <c r="E628" s="360">
        <f t="shared" ca="1" si="270"/>
        <v>-7.7784471108497542</v>
      </c>
      <c r="F628" s="357">
        <f t="shared" ca="1" si="271"/>
        <v>7.8048934322727899</v>
      </c>
      <c r="G628" s="359">
        <f t="shared" ca="1" si="272"/>
        <v>25.805371787189181</v>
      </c>
      <c r="H628" s="360">
        <f t="shared" ca="1" si="273"/>
        <v>-82.644001259072368</v>
      </c>
      <c r="I628" s="357">
        <f t="shared" ca="1" si="274"/>
        <v>86.579143892652425</v>
      </c>
      <c r="J628" s="359">
        <f t="shared" ca="1" si="275"/>
        <v>802.99611546404037</v>
      </c>
      <c r="K628" s="360">
        <f t="shared" ca="1" si="276"/>
        <v>1023.5112990301571</v>
      </c>
      <c r="L628" s="357">
        <f t="shared" ca="1" si="261"/>
        <v>1300.9143479463735</v>
      </c>
      <c r="M628" s="359">
        <f t="shared" ca="1" si="277"/>
        <v>-1.2681416317727081</v>
      </c>
      <c r="N628" s="357">
        <f t="shared" ca="1" si="278"/>
        <v>-72.659163325409523</v>
      </c>
      <c r="O628" s="343"/>
      <c r="P628" s="363">
        <f t="shared" ca="1" si="279"/>
        <v>23</v>
      </c>
      <c r="Q628" s="357">
        <f t="shared" ca="1" si="280"/>
        <v>0</v>
      </c>
      <c r="R628" s="359">
        <f t="shared" ca="1" si="281"/>
        <v>0</v>
      </c>
      <c r="S628" s="360">
        <f t="shared" ca="1" si="282"/>
        <v>8.6519999999999992</v>
      </c>
      <c r="T628" s="357">
        <f t="shared" ca="1" si="262"/>
        <v>84.87612</v>
      </c>
      <c r="U628" s="364">
        <f t="shared" ca="1" si="263"/>
        <v>0</v>
      </c>
      <c r="V628" s="359">
        <f t="shared" ca="1" si="264"/>
        <v>1.1057238882717197</v>
      </c>
      <c r="W628" s="357">
        <f t="shared" ca="1" si="265"/>
        <v>18.760866125211678</v>
      </c>
      <c r="X628" s="343"/>
      <c r="Y628" s="367" t="str">
        <f t="shared" ca="1" si="283"/>
        <v/>
      </c>
      <c r="Z628" s="368" t="str">
        <f t="shared" ca="1" si="284"/>
        <v/>
      </c>
      <c r="AA628" s="369" t="str">
        <f t="shared" ca="1" si="285"/>
        <v/>
      </c>
      <c r="AB628" s="344"/>
      <c r="AC628" s="363" t="e">
        <f t="shared" ca="1" si="286"/>
        <v>#N/A</v>
      </c>
      <c r="AD628" s="376" t="e">
        <f t="shared" ca="1" si="287"/>
        <v>#N/A</v>
      </c>
      <c r="AE628" s="377" t="e">
        <f t="shared" ca="1" si="266"/>
        <v>#N/A</v>
      </c>
      <c r="AF628" s="344"/>
      <c r="AG628" s="359">
        <f t="shared" ca="1" si="288"/>
        <v>7.22351463105971</v>
      </c>
      <c r="AH628" s="357">
        <f t="shared" ca="1" si="289"/>
        <v>-2.1305701523917842</v>
      </c>
    </row>
    <row r="629" spans="1:34" x14ac:dyDescent="0.25">
      <c r="A629" s="402">
        <f t="shared" ca="1" si="267"/>
        <v>0.1</v>
      </c>
      <c r="B629" s="357">
        <f t="shared" ca="1" si="268"/>
        <v>26.500000000000064</v>
      </c>
      <c r="C629" s="342"/>
      <c r="D629" s="359">
        <f t="shared" ca="1" si="269"/>
        <v>-0.64629858783722538</v>
      </c>
      <c r="E629" s="360">
        <f t="shared" ca="1" si="270"/>
        <v>-7.7401712159995881</v>
      </c>
      <c r="F629" s="357">
        <f t="shared" ca="1" si="271"/>
        <v>7.7671070752004532</v>
      </c>
      <c r="G629" s="359">
        <f t="shared" ca="1" si="272"/>
        <v>25.740741928405459</v>
      </c>
      <c r="H629" s="360">
        <f t="shared" ca="1" si="273"/>
        <v>-83.418018380672322</v>
      </c>
      <c r="I629" s="357">
        <f t="shared" ca="1" si="274"/>
        <v>87.299207244871113</v>
      </c>
      <c r="J629" s="359">
        <f t="shared" ca="1" si="275"/>
        <v>805.57342114982009</v>
      </c>
      <c r="K629" s="360">
        <f t="shared" ca="1" si="276"/>
        <v>1015.2081980481699</v>
      </c>
      <c r="L629" s="357">
        <f t="shared" ca="1" si="261"/>
        <v>1295.9923696716883</v>
      </c>
      <c r="M629" s="359">
        <f t="shared" ca="1" si="277"/>
        <v>-1.2714909495360966</v>
      </c>
      <c r="N629" s="357">
        <f t="shared" ca="1" si="278"/>
        <v>-72.85106509749987</v>
      </c>
      <c r="O629" s="343"/>
      <c r="P629" s="363">
        <f t="shared" ca="1" si="279"/>
        <v>23</v>
      </c>
      <c r="Q629" s="357">
        <f t="shared" ca="1" si="280"/>
        <v>0</v>
      </c>
      <c r="R629" s="359">
        <f t="shared" ca="1" si="281"/>
        <v>0</v>
      </c>
      <c r="S629" s="360">
        <f t="shared" ca="1" si="282"/>
        <v>8.6519999999999992</v>
      </c>
      <c r="T629" s="357">
        <f t="shared" ca="1" si="262"/>
        <v>84.87612</v>
      </c>
      <c r="U629" s="364">
        <f t="shared" ca="1" si="263"/>
        <v>0</v>
      </c>
      <c r="V629" s="359">
        <f t="shared" ca="1" si="264"/>
        <v>1.1066447564174489</v>
      </c>
      <c r="W629" s="357">
        <f t="shared" ca="1" si="265"/>
        <v>19.090110766208621</v>
      </c>
      <c r="X629" s="343"/>
      <c r="Y629" s="367" t="str">
        <f t="shared" ca="1" si="283"/>
        <v/>
      </c>
      <c r="Z629" s="368" t="str">
        <f t="shared" ca="1" si="284"/>
        <v/>
      </c>
      <c r="AA629" s="369" t="str">
        <f t="shared" ca="1" si="285"/>
        <v/>
      </c>
      <c r="AB629" s="344"/>
      <c r="AC629" s="363" t="e">
        <f t="shared" ca="1" si="286"/>
        <v>#N/A</v>
      </c>
      <c r="AD629" s="376" t="e">
        <f t="shared" ca="1" si="287"/>
        <v>#N/A</v>
      </c>
      <c r="AE629" s="377" t="e">
        <f t="shared" ca="1" si="266"/>
        <v>#N/A</v>
      </c>
      <c r="AF629" s="344"/>
      <c r="AG629" s="359">
        <f t="shared" ca="1" si="288"/>
        <v>7.1957369450115571</v>
      </c>
      <c r="AH629" s="357">
        <f t="shared" ca="1" si="289"/>
        <v>-2.1683848965801755</v>
      </c>
    </row>
    <row r="630" spans="1:34" x14ac:dyDescent="0.25">
      <c r="A630" s="402">
        <f t="shared" ca="1" si="267"/>
        <v>0.1</v>
      </c>
      <c r="B630" s="357">
        <f t="shared" ca="1" si="268"/>
        <v>26.600000000000065</v>
      </c>
      <c r="C630" s="342"/>
      <c r="D630" s="359">
        <f t="shared" ca="1" si="269"/>
        <v>-0.65058298091637334</v>
      </c>
      <c r="E630" s="360">
        <f t="shared" ca="1" si="270"/>
        <v>-7.7016558345062265</v>
      </c>
      <c r="F630" s="357">
        <f t="shared" ca="1" si="271"/>
        <v>7.7290853798002406</v>
      </c>
      <c r="G630" s="359">
        <f t="shared" ca="1" si="272"/>
        <v>25.67568363031382</v>
      </c>
      <c r="H630" s="360">
        <f t="shared" ca="1" si="273"/>
        <v>-84.188183964122942</v>
      </c>
      <c r="I630" s="357">
        <f t="shared" ca="1" si="274"/>
        <v>88.016424882296675</v>
      </c>
      <c r="J630" s="359">
        <f t="shared" ca="1" si="275"/>
        <v>808.14424242775601</v>
      </c>
      <c r="K630" s="360">
        <f t="shared" ca="1" si="276"/>
        <v>1006.8278879309302</v>
      </c>
      <c r="L630" s="357">
        <f t="shared" ca="1" si="261"/>
        <v>1291.0458986746326</v>
      </c>
      <c r="M630" s="359">
        <f t="shared" ca="1" si="277"/>
        <v>-1.2747773223219045</v>
      </c>
      <c r="N630" s="357">
        <f t="shared" ca="1" si="278"/>
        <v>-73.039360388033316</v>
      </c>
      <c r="O630" s="343"/>
      <c r="P630" s="363">
        <f t="shared" ca="1" si="279"/>
        <v>23</v>
      </c>
      <c r="Q630" s="357">
        <f t="shared" ca="1" si="280"/>
        <v>0</v>
      </c>
      <c r="R630" s="359">
        <f t="shared" ca="1" si="281"/>
        <v>0</v>
      </c>
      <c r="S630" s="360">
        <f t="shared" ca="1" si="282"/>
        <v>8.6519999999999992</v>
      </c>
      <c r="T630" s="357">
        <f t="shared" ca="1" si="262"/>
        <v>84.87612</v>
      </c>
      <c r="U630" s="364">
        <f t="shared" ca="1" si="263"/>
        <v>0</v>
      </c>
      <c r="V630" s="359">
        <f t="shared" ca="1" si="264"/>
        <v>1.1075749257055614</v>
      </c>
      <c r="W630" s="357">
        <f t="shared" ca="1" si="265"/>
        <v>19.421384270179306</v>
      </c>
      <c r="X630" s="343"/>
      <c r="Y630" s="367" t="str">
        <f t="shared" ca="1" si="283"/>
        <v/>
      </c>
      <c r="Z630" s="368" t="str">
        <f t="shared" ca="1" si="284"/>
        <v/>
      </c>
      <c r="AA630" s="369" t="str">
        <f t="shared" ca="1" si="285"/>
        <v/>
      </c>
      <c r="AB630" s="344"/>
      <c r="AC630" s="363" t="e">
        <f t="shared" ca="1" si="286"/>
        <v>#N/A</v>
      </c>
      <c r="AD630" s="376" t="e">
        <f t="shared" ca="1" si="287"/>
        <v>#N/A</v>
      </c>
      <c r="AE630" s="377" t="e">
        <f t="shared" ca="1" si="266"/>
        <v>#N/A</v>
      </c>
      <c r="AF630" s="344"/>
      <c r="AG630" s="359">
        <f t="shared" ca="1" si="288"/>
        <v>7.1674233832911751</v>
      </c>
      <c r="AH630" s="357">
        <f t="shared" ca="1" si="289"/>
        <v>-2.2064390622062673</v>
      </c>
    </row>
    <row r="631" spans="1:34" x14ac:dyDescent="0.25">
      <c r="A631" s="402">
        <f t="shared" ca="1" si="267"/>
        <v>0.1</v>
      </c>
      <c r="B631" s="357">
        <f t="shared" ca="1" si="268"/>
        <v>26.700000000000067</v>
      </c>
      <c r="C631" s="342"/>
      <c r="D631" s="359">
        <f t="shared" ca="1" si="269"/>
        <v>-0.65482004024837137</v>
      </c>
      <c r="E631" s="360">
        <f t="shared" ca="1" si="270"/>
        <v>-7.6629058542091695</v>
      </c>
      <c r="F631" s="357">
        <f t="shared" ca="1" si="271"/>
        <v>7.6908332068498302</v>
      </c>
      <c r="G631" s="359">
        <f t="shared" ca="1" si="272"/>
        <v>25.610201626288983</v>
      </c>
      <c r="H631" s="360">
        <f t="shared" ca="1" si="273"/>
        <v>-84.95447454954386</v>
      </c>
      <c r="I631" s="357">
        <f t="shared" ca="1" si="274"/>
        <v>88.730745366689391</v>
      </c>
      <c r="J631" s="359">
        <f t="shared" ca="1" si="275"/>
        <v>810.70853669058613</v>
      </c>
      <c r="K631" s="360">
        <f t="shared" ca="1" si="276"/>
        <v>998.37075500524679</v>
      </c>
      <c r="L631" s="357">
        <f t="shared" ca="1" si="261"/>
        <v>1286.0763958306434</v>
      </c>
      <c r="M631" s="359">
        <f t="shared" ca="1" si="277"/>
        <v>-1.2780025020563464</v>
      </c>
      <c r="N631" s="357">
        <f t="shared" ca="1" si="278"/>
        <v>-73.224149574987962</v>
      </c>
      <c r="O631" s="343"/>
      <c r="P631" s="363">
        <f t="shared" ca="1" si="279"/>
        <v>23</v>
      </c>
      <c r="Q631" s="357">
        <f t="shared" ca="1" si="280"/>
        <v>0</v>
      </c>
      <c r="R631" s="359">
        <f t="shared" ca="1" si="281"/>
        <v>0</v>
      </c>
      <c r="S631" s="360">
        <f t="shared" ca="1" si="282"/>
        <v>8.6519999999999992</v>
      </c>
      <c r="T631" s="357">
        <f t="shared" ca="1" si="262"/>
        <v>84.87612</v>
      </c>
      <c r="U631" s="364">
        <f t="shared" ca="1" si="263"/>
        <v>0</v>
      </c>
      <c r="V631" s="359">
        <f t="shared" ca="1" si="264"/>
        <v>1.1085143746007144</v>
      </c>
      <c r="W631" s="357">
        <f t="shared" ca="1" si="265"/>
        <v>19.754643950118638</v>
      </c>
      <c r="X631" s="343"/>
      <c r="Y631" s="367" t="str">
        <f t="shared" ca="1" si="283"/>
        <v/>
      </c>
      <c r="Z631" s="368" t="str">
        <f t="shared" ca="1" si="284"/>
        <v/>
      </c>
      <c r="AA631" s="369" t="str">
        <f t="shared" ca="1" si="285"/>
        <v/>
      </c>
      <c r="AB631" s="344"/>
      <c r="AC631" s="363" t="e">
        <f t="shared" ca="1" si="286"/>
        <v>#N/A</v>
      </c>
      <c r="AD631" s="376" t="e">
        <f t="shared" ca="1" si="287"/>
        <v>#N/A</v>
      </c>
      <c r="AE631" s="377" t="e">
        <f t="shared" ca="1" si="266"/>
        <v>#N/A</v>
      </c>
      <c r="AF631" s="344"/>
      <c r="AG631" s="359">
        <f t="shared" ca="1" si="288"/>
        <v>7.1385900575482992</v>
      </c>
      <c r="AH631" s="357">
        <f t="shared" ca="1" si="289"/>
        <v>-2.2447277242463368</v>
      </c>
    </row>
    <row r="632" spans="1:34" x14ac:dyDescent="0.25">
      <c r="A632" s="402">
        <f t="shared" ca="1" si="267"/>
        <v>0.1</v>
      </c>
      <c r="B632" s="357">
        <f t="shared" ca="1" si="268"/>
        <v>26.800000000000068</v>
      </c>
      <c r="C632" s="342"/>
      <c r="D632" s="359">
        <f t="shared" ca="1" si="269"/>
        <v>-0.65900933067543688</v>
      </c>
      <c r="E632" s="360">
        <f t="shared" ca="1" si="270"/>
        <v>-7.6239261756803707</v>
      </c>
      <c r="F632" s="357">
        <f t="shared" ca="1" si="271"/>
        <v>7.6523554302019718</v>
      </c>
      <c r="G632" s="359">
        <f t="shared" ca="1" si="272"/>
        <v>25.544300693221441</v>
      </c>
      <c r="H632" s="360">
        <f t="shared" ca="1" si="273"/>
        <v>-85.7168671671119</v>
      </c>
      <c r="I632" s="357">
        <f t="shared" ca="1" si="274"/>
        <v>89.442118796739265</v>
      </c>
      <c r="J632" s="359">
        <f t="shared" ca="1" si="275"/>
        <v>813.2662618065616</v>
      </c>
      <c r="K632" s="360">
        <f t="shared" ca="1" si="276"/>
        <v>989.83718791941396</v>
      </c>
      <c r="L632" s="357">
        <f t="shared" ca="1" si="261"/>
        <v>1281.0853489057752</v>
      </c>
      <c r="M632" s="359">
        <f t="shared" ca="1" si="277"/>
        <v>-1.2811681784810036</v>
      </c>
      <c r="N632" s="357">
        <f t="shared" ca="1" si="278"/>
        <v>-73.405529473424878</v>
      </c>
      <c r="O632" s="343"/>
      <c r="P632" s="363">
        <f t="shared" ca="1" si="279"/>
        <v>23</v>
      </c>
      <c r="Q632" s="357">
        <f t="shared" ca="1" si="280"/>
        <v>0</v>
      </c>
      <c r="R632" s="359">
        <f t="shared" ca="1" si="281"/>
        <v>0</v>
      </c>
      <c r="S632" s="360">
        <f t="shared" ca="1" si="282"/>
        <v>8.6519999999999992</v>
      </c>
      <c r="T632" s="357">
        <f t="shared" ca="1" si="262"/>
        <v>84.87612</v>
      </c>
      <c r="U632" s="364">
        <f t="shared" ca="1" si="263"/>
        <v>0</v>
      </c>
      <c r="V632" s="359">
        <f t="shared" ca="1" si="264"/>
        <v>1.1094630814097828</v>
      </c>
      <c r="W632" s="357">
        <f t="shared" ca="1" si="265"/>
        <v>20.089847052789111</v>
      </c>
      <c r="X632" s="343"/>
      <c r="Y632" s="367" t="str">
        <f t="shared" ca="1" si="283"/>
        <v/>
      </c>
      <c r="Z632" s="368" t="str">
        <f t="shared" ca="1" si="284"/>
        <v/>
      </c>
      <c r="AA632" s="369" t="str">
        <f t="shared" ca="1" si="285"/>
        <v/>
      </c>
      <c r="AB632" s="344"/>
      <c r="AC632" s="363" t="e">
        <f t="shared" ca="1" si="286"/>
        <v>#N/A</v>
      </c>
      <c r="AD632" s="376" t="e">
        <f t="shared" ca="1" si="287"/>
        <v>#N/A</v>
      </c>
      <c r="AE632" s="377" t="e">
        <f t="shared" ca="1" si="266"/>
        <v>#N/A</v>
      </c>
      <c r="AF632" s="344"/>
      <c r="AG632" s="359">
        <f t="shared" ca="1" si="288"/>
        <v>7.1092525800425586</v>
      </c>
      <c r="AH632" s="357">
        <f t="shared" ca="1" si="289"/>
        <v>-2.2832459489272585</v>
      </c>
    </row>
    <row r="633" spans="1:34" x14ac:dyDescent="0.25">
      <c r="A633" s="402">
        <f t="shared" ca="1" si="267"/>
        <v>0.1</v>
      </c>
      <c r="B633" s="357">
        <f t="shared" ca="1" si="268"/>
        <v>26.90000000000007</v>
      </c>
      <c r="C633" s="342"/>
      <c r="D633" s="359">
        <f t="shared" ca="1" si="269"/>
        <v>-0.66315043493082393</v>
      </c>
      <c r="E633" s="360">
        <f t="shared" ca="1" si="270"/>
        <v>-7.5847217109035174</v>
      </c>
      <c r="F633" s="357">
        <f t="shared" ca="1" si="271"/>
        <v>7.6136569354811439</v>
      </c>
      <c r="G633" s="359">
        <f t="shared" ca="1" si="272"/>
        <v>25.477985649728357</v>
      </c>
      <c r="H633" s="360">
        <f t="shared" ca="1" si="273"/>
        <v>-86.475339338202247</v>
      </c>
      <c r="I633" s="357">
        <f t="shared" ca="1" si="274"/>
        <v>90.150496761942435</v>
      </c>
      <c r="J633" s="359">
        <f t="shared" ca="1" si="275"/>
        <v>815.8173761237091</v>
      </c>
      <c r="K633" s="360">
        <f t="shared" ca="1" si="276"/>
        <v>981.22757759414822</v>
      </c>
      <c r="L633" s="357">
        <f t="shared" ca="1" si="261"/>
        <v>1276.0742730016359</v>
      </c>
      <c r="M633" s="359">
        <f t="shared" ca="1" si="277"/>
        <v>-1.2842759817663127</v>
      </c>
      <c r="N633" s="357">
        <f t="shared" ca="1" si="278"/>
        <v>-73.583593485229983</v>
      </c>
      <c r="O633" s="343"/>
      <c r="P633" s="363">
        <f t="shared" ca="1" si="279"/>
        <v>23</v>
      </c>
      <c r="Q633" s="357">
        <f t="shared" ca="1" si="280"/>
        <v>0</v>
      </c>
      <c r="R633" s="359">
        <f t="shared" ca="1" si="281"/>
        <v>0</v>
      </c>
      <c r="S633" s="360">
        <f t="shared" ca="1" si="282"/>
        <v>8.6519999999999992</v>
      </c>
      <c r="T633" s="357">
        <f t="shared" ca="1" si="262"/>
        <v>84.87612</v>
      </c>
      <c r="U633" s="364">
        <f t="shared" ca="1" si="263"/>
        <v>0</v>
      </c>
      <c r="V633" s="359">
        <f t="shared" ca="1" si="264"/>
        <v>1.1104210242839698</v>
      </c>
      <c r="W633" s="357">
        <f t="shared" ca="1" si="265"/>
        <v>20.426950768155951</v>
      </c>
      <c r="X633" s="343"/>
      <c r="Y633" s="367" t="str">
        <f t="shared" ca="1" si="283"/>
        <v/>
      </c>
      <c r="Z633" s="368" t="str">
        <f t="shared" ca="1" si="284"/>
        <v/>
      </c>
      <c r="AA633" s="369" t="str">
        <f t="shared" ca="1" si="285"/>
        <v/>
      </c>
      <c r="AB633" s="344"/>
      <c r="AC633" s="363" t="e">
        <f t="shared" ca="1" si="286"/>
        <v>#N/A</v>
      </c>
      <c r="AD633" s="376" t="e">
        <f t="shared" ca="1" si="287"/>
        <v>#N/A</v>
      </c>
      <c r="AE633" s="377" t="e">
        <f t="shared" ca="1" si="266"/>
        <v>#N/A</v>
      </c>
      <c r="AF633" s="344"/>
      <c r="AG633" s="359">
        <f t="shared" ca="1" si="288"/>
        <v>7.0794260891480247</v>
      </c>
      <c r="AH633" s="357">
        <f t="shared" ca="1" si="289"/>
        <v>-2.321988794820748</v>
      </c>
    </row>
    <row r="634" spans="1:34" x14ac:dyDescent="0.25">
      <c r="A634" s="402">
        <f t="shared" ca="1" si="267"/>
        <v>0.1</v>
      </c>
      <c r="B634" s="357">
        <f t="shared" ca="1" si="268"/>
        <v>27.000000000000071</v>
      </c>
      <c r="C634" s="342"/>
      <c r="D634" s="359">
        <f t="shared" ca="1" si="269"/>
        <v>-0.66724295324691341</v>
      </c>
      <c r="E634" s="360">
        <f t="shared" ca="1" si="270"/>
        <v>-7.5452973819707676</v>
      </c>
      <c r="F634" s="357">
        <f t="shared" ca="1" si="271"/>
        <v>7.5747426187978553</v>
      </c>
      <c r="G634" s="359">
        <f t="shared" ca="1" si="272"/>
        <v>25.411261354403667</v>
      </c>
      <c r="H634" s="360">
        <f t="shared" ca="1" si="273"/>
        <v>-87.229869076399325</v>
      </c>
      <c r="I634" s="357">
        <f t="shared" ca="1" si="274"/>
        <v>90.855832298799484</v>
      </c>
      <c r="J634" s="359">
        <f t="shared" ca="1" si="275"/>
        <v>818.36183847391567</v>
      </c>
      <c r="K634" s="360">
        <f t="shared" ca="1" si="276"/>
        <v>972.54231717341816</v>
      </c>
      <c r="L634" s="357">
        <f t="shared" ca="1" si="261"/>
        <v>1271.0447110009343</v>
      </c>
      <c r="M634" s="359">
        <f t="shared" ca="1" si="277"/>
        <v>-1.2873274850013035</v>
      </c>
      <c r="N634" s="357">
        <f t="shared" ca="1" si="278"/>
        <v>-73.758431741765477</v>
      </c>
      <c r="O634" s="343"/>
      <c r="P634" s="363">
        <f t="shared" ca="1" si="279"/>
        <v>23</v>
      </c>
      <c r="Q634" s="357">
        <f t="shared" ca="1" si="280"/>
        <v>0</v>
      </c>
      <c r="R634" s="359">
        <f t="shared" ca="1" si="281"/>
        <v>0</v>
      </c>
      <c r="S634" s="360">
        <f t="shared" ca="1" si="282"/>
        <v>8.6519999999999992</v>
      </c>
      <c r="T634" s="357">
        <f t="shared" ca="1" si="262"/>
        <v>84.87612</v>
      </c>
      <c r="U634" s="364">
        <f t="shared" ca="1" si="263"/>
        <v>0</v>
      </c>
      <c r="V634" s="359">
        <f t="shared" ca="1" si="264"/>
        <v>1.1113881812209401</v>
      </c>
      <c r="W634" s="357">
        <f t="shared" ca="1" si="265"/>
        <v>20.765912238786651</v>
      </c>
      <c r="X634" s="343"/>
      <c r="Y634" s="367" t="str">
        <f t="shared" ca="1" si="283"/>
        <v/>
      </c>
      <c r="Z634" s="368" t="str">
        <f t="shared" ca="1" si="284"/>
        <v/>
      </c>
      <c r="AA634" s="369" t="str">
        <f t="shared" ca="1" si="285"/>
        <v/>
      </c>
      <c r="AB634" s="344"/>
      <c r="AC634" s="363">
        <f t="shared" ca="1" si="286"/>
        <v>27.000000000000071</v>
      </c>
      <c r="AD634" s="376">
        <f t="shared" ca="1" si="287"/>
        <v>818.36183847391567</v>
      </c>
      <c r="AE634" s="377" t="e">
        <f t="shared" ca="1" si="266"/>
        <v>#N/A</v>
      </c>
      <c r="AF634" s="344"/>
      <c r="AG634" s="359">
        <f t="shared" ca="1" si="288"/>
        <v>7.0491252733078271</v>
      </c>
      <c r="AH634" s="357">
        <f t="shared" ca="1" si="289"/>
        <v>-2.3609513139338825</v>
      </c>
    </row>
    <row r="635" spans="1:34" x14ac:dyDescent="0.25">
      <c r="A635" s="402">
        <f t="shared" ca="1" si="267"/>
        <v>0.1</v>
      </c>
      <c r="B635" s="357">
        <f t="shared" ca="1" si="268"/>
        <v>27.100000000000072</v>
      </c>
      <c r="C635" s="342"/>
      <c r="D635" s="359">
        <f t="shared" ca="1" si="269"/>
        <v>-0.67128650298060089</v>
      </c>
      <c r="E635" s="360">
        <f t="shared" ca="1" si="270"/>
        <v>-7.5056581197963945</v>
      </c>
      <c r="F635" s="357">
        <f t="shared" ca="1" si="271"/>
        <v>7.5356173854800694</v>
      </c>
      <c r="G635" s="359">
        <f t="shared" ca="1" si="272"/>
        <v>25.344132704105608</v>
      </c>
      <c r="H635" s="360">
        <f t="shared" ca="1" si="273"/>
        <v>-87.980434888378966</v>
      </c>
      <c r="I635" s="357">
        <f t="shared" ca="1" si="274"/>
        <v>91.558079849195209</v>
      </c>
      <c r="J635" s="359">
        <f t="shared" ca="1" si="275"/>
        <v>820.89960817684118</v>
      </c>
      <c r="K635" s="360">
        <f t="shared" ca="1" si="276"/>
        <v>963.78180197517929</v>
      </c>
      <c r="L635" s="357">
        <f t="shared" ca="1" si="261"/>
        <v>1265.9982340127553</v>
      </c>
      <c r="M635" s="359">
        <f t="shared" ca="1" si="277"/>
        <v>-1.2903242065658918</v>
      </c>
      <c r="N635" s="357">
        <f t="shared" ca="1" si="278"/>
        <v>-73.930131239792217</v>
      </c>
      <c r="O635" s="343"/>
      <c r="P635" s="363">
        <f t="shared" ca="1" si="279"/>
        <v>23</v>
      </c>
      <c r="Q635" s="357">
        <f t="shared" ca="1" si="280"/>
        <v>0</v>
      </c>
      <c r="R635" s="359">
        <f t="shared" ca="1" si="281"/>
        <v>0</v>
      </c>
      <c r="S635" s="360">
        <f t="shared" ca="1" si="282"/>
        <v>8.6519999999999992</v>
      </c>
      <c r="T635" s="357">
        <f t="shared" ca="1" si="262"/>
        <v>84.87612</v>
      </c>
      <c r="U635" s="364">
        <f t="shared" ca="1" si="263"/>
        <v>0</v>
      </c>
      <c r="V635" s="359">
        <f t="shared" ca="1" si="264"/>
        <v>1.1123645300669598</v>
      </c>
      <c r="W635" s="357">
        <f t="shared" ca="1" si="265"/>
        <v>21.106688569211247</v>
      </c>
      <c r="X635" s="343"/>
      <c r="Y635" s="367" t="str">
        <f t="shared" ca="1" si="283"/>
        <v/>
      </c>
      <c r="Z635" s="368" t="str">
        <f t="shared" ca="1" si="284"/>
        <v/>
      </c>
      <c r="AA635" s="369" t="str">
        <f t="shared" ca="1" si="285"/>
        <v/>
      </c>
      <c r="AB635" s="344"/>
      <c r="AC635" s="363" t="e">
        <f t="shared" ca="1" si="286"/>
        <v>#N/A</v>
      </c>
      <c r="AD635" s="376" t="e">
        <f t="shared" ca="1" si="287"/>
        <v>#N/A</v>
      </c>
      <c r="AE635" s="377" t="e">
        <f t="shared" ca="1" si="266"/>
        <v>#N/A</v>
      </c>
      <c r="AF635" s="344"/>
      <c r="AG635" s="359">
        <f t="shared" ca="1" si="288"/>
        <v>7.0183643935377269</v>
      </c>
      <c r="AH635" s="357">
        <f t="shared" ca="1" si="289"/>
        <v>-2.4001285527954983</v>
      </c>
    </row>
    <row r="636" spans="1:34" x14ac:dyDescent="0.25">
      <c r="A636" s="402">
        <f t="shared" ca="1" si="267"/>
        <v>0.1</v>
      </c>
      <c r="B636" s="357">
        <f t="shared" ca="1" si="268"/>
        <v>27.200000000000074</v>
      </c>
      <c r="C636" s="342"/>
      <c r="D636" s="359">
        <f t="shared" ca="1" si="269"/>
        <v>-0.67528071825483516</v>
      </c>
      <c r="E636" s="360">
        <f t="shared" ca="1" si="270"/>
        <v>-7.4658088628468642</v>
      </c>
      <c r="F636" s="357">
        <f t="shared" ca="1" si="271"/>
        <v>7.4962861488212651</v>
      </c>
      <c r="G636" s="359">
        <f t="shared" ca="1" si="272"/>
        <v>25.276604632280126</v>
      </c>
      <c r="H636" s="360">
        <f t="shared" ca="1" si="273"/>
        <v>-88.727015774663656</v>
      </c>
      <c r="I636" s="357">
        <f t="shared" ca="1" si="274"/>
        <v>92.257195220828265</v>
      </c>
      <c r="J636" s="359">
        <f t="shared" ca="1" si="275"/>
        <v>823.43064504366043</v>
      </c>
      <c r="K636" s="360">
        <f t="shared" ca="1" si="276"/>
        <v>954.94642944202712</v>
      </c>
      <c r="L636" s="357">
        <f t="shared" ca="1" si="261"/>
        <v>1260.9364418165949</v>
      </c>
      <c r="M636" s="359">
        <f t="shared" ca="1" si="277"/>
        <v>-1.2932676123917006</v>
      </c>
      <c r="N636" s="357">
        <f t="shared" ca="1" si="278"/>
        <v>-74.098775971005296</v>
      </c>
      <c r="O636" s="343"/>
      <c r="P636" s="363">
        <f t="shared" ca="1" si="279"/>
        <v>23</v>
      </c>
      <c r="Q636" s="357">
        <f t="shared" ca="1" si="280"/>
        <v>0</v>
      </c>
      <c r="R636" s="359">
        <f t="shared" ca="1" si="281"/>
        <v>0</v>
      </c>
      <c r="S636" s="360">
        <f t="shared" ca="1" si="282"/>
        <v>8.6519999999999992</v>
      </c>
      <c r="T636" s="357">
        <f t="shared" ca="1" si="262"/>
        <v>84.87612</v>
      </c>
      <c r="U636" s="364">
        <f t="shared" ca="1" si="263"/>
        <v>0</v>
      </c>
      <c r="V636" s="359">
        <f t="shared" ca="1" si="264"/>
        <v>1.1133500485190566</v>
      </c>
      <c r="W636" s="357">
        <f t="shared" ca="1" si="265"/>
        <v>21.44923683523999</v>
      </c>
      <c r="X636" s="343"/>
      <c r="Y636" s="367" t="str">
        <f t="shared" ca="1" si="283"/>
        <v/>
      </c>
      <c r="Z636" s="368" t="str">
        <f t="shared" ca="1" si="284"/>
        <v/>
      </c>
      <c r="AA636" s="369" t="str">
        <f t="shared" ca="1" si="285"/>
        <v/>
      </c>
      <c r="AB636" s="344"/>
      <c r="AC636" s="363" t="e">
        <f t="shared" ca="1" si="286"/>
        <v>#N/A</v>
      </c>
      <c r="AD636" s="376" t="e">
        <f t="shared" ca="1" si="287"/>
        <v>#N/A</v>
      </c>
      <c r="AE636" s="377" t="e">
        <f t="shared" ca="1" si="266"/>
        <v>#N/A</v>
      </c>
      <c r="AF636" s="344"/>
      <c r="AG636" s="359">
        <f t="shared" ca="1" si="288"/>
        <v>6.9871573045710829</v>
      </c>
      <c r="AH636" s="357">
        <f t="shared" ca="1" si="289"/>
        <v>-2.4395155535380546</v>
      </c>
    </row>
    <row r="637" spans="1:34" x14ac:dyDescent="0.25">
      <c r="A637" s="402">
        <f t="shared" ca="1" si="267"/>
        <v>0.1</v>
      </c>
      <c r="B637" s="357">
        <f t="shared" ca="1" si="268"/>
        <v>27.300000000000075</v>
      </c>
      <c r="C637" s="342"/>
      <c r="D637" s="359">
        <f t="shared" ca="1" si="269"/>
        <v>-0.67922524961525077</v>
      </c>
      <c r="E637" s="360">
        <f t="shared" ca="1" si="270"/>
        <v>-7.4257545558868916</v>
      </c>
      <c r="F637" s="357">
        <f t="shared" ca="1" si="271"/>
        <v>7.4567538288446817</v>
      </c>
      <c r="G637" s="359">
        <f t="shared" ca="1" si="272"/>
        <v>25.208682107318602</v>
      </c>
      <c r="H637" s="360">
        <f t="shared" ca="1" si="273"/>
        <v>-89.469591230252348</v>
      </c>
      <c r="I637" s="357">
        <f t="shared" ca="1" si="274"/>
        <v>92.953135549567619</v>
      </c>
      <c r="J637" s="359">
        <f t="shared" ca="1" si="275"/>
        <v>825.9549093806404</v>
      </c>
      <c r="K637" s="360">
        <f t="shared" ca="1" si="276"/>
        <v>946.03659909178134</v>
      </c>
      <c r="L637" s="357">
        <f t="shared" ca="1" si="261"/>
        <v>1255.8609633041094</v>
      </c>
      <c r="M637" s="359">
        <f t="shared" ca="1" si="277"/>
        <v>-1.296159118117076</v>
      </c>
      <c r="N637" s="357">
        <f t="shared" ca="1" si="278"/>
        <v>-74.264447045507211</v>
      </c>
      <c r="O637" s="343"/>
      <c r="P637" s="363">
        <f t="shared" ca="1" si="279"/>
        <v>23</v>
      </c>
      <c r="Q637" s="357">
        <f t="shared" ca="1" si="280"/>
        <v>0</v>
      </c>
      <c r="R637" s="359">
        <f t="shared" ca="1" si="281"/>
        <v>0</v>
      </c>
      <c r="S637" s="360">
        <f t="shared" ca="1" si="282"/>
        <v>8.6519999999999992</v>
      </c>
      <c r="T637" s="357">
        <f t="shared" ca="1" si="262"/>
        <v>84.87612</v>
      </c>
      <c r="U637" s="364">
        <f t="shared" ca="1" si="263"/>
        <v>0</v>
      </c>
      <c r="V637" s="359">
        <f t="shared" ca="1" si="264"/>
        <v>1.1143447141271889</v>
      </c>
      <c r="W637" s="357">
        <f t="shared" ca="1" si="265"/>
        <v>21.793514093235071</v>
      </c>
      <c r="X637" s="343"/>
      <c r="Y637" s="367" t="str">
        <f t="shared" ca="1" si="283"/>
        <v/>
      </c>
      <c r="Z637" s="368" t="str">
        <f t="shared" ca="1" si="284"/>
        <v/>
      </c>
      <c r="AA637" s="369" t="str">
        <f t="shared" ca="1" si="285"/>
        <v/>
      </c>
      <c r="AB637" s="344"/>
      <c r="AC637" s="363" t="e">
        <f t="shared" ca="1" si="286"/>
        <v>#N/A</v>
      </c>
      <c r="AD637" s="376" t="e">
        <f t="shared" ca="1" si="287"/>
        <v>#N/A</v>
      </c>
      <c r="AE637" s="377" t="e">
        <f t="shared" ca="1" si="266"/>
        <v>#N/A</v>
      </c>
      <c r="AF637" s="344"/>
      <c r="AG637" s="359">
        <f t="shared" ca="1" si="288"/>
        <v>6.9555174747313249</v>
      </c>
      <c r="AH637" s="357">
        <f t="shared" ca="1" si="289"/>
        <v>-2.4791073549745715</v>
      </c>
    </row>
    <row r="638" spans="1:34" x14ac:dyDescent="0.25">
      <c r="A638" s="402">
        <f t="shared" ca="1" si="267"/>
        <v>0.1</v>
      </c>
      <c r="B638" s="357">
        <f t="shared" ca="1" si="268"/>
        <v>27.400000000000077</v>
      </c>
      <c r="C638" s="342"/>
      <c r="D638" s="359">
        <f t="shared" ca="1" si="269"/>
        <v>-0.68311976370089889</v>
      </c>
      <c r="E638" s="360">
        <f t="shared" ca="1" si="270"/>
        <v>-7.3855001487411336</v>
      </c>
      <c r="F638" s="357">
        <f t="shared" ca="1" si="271"/>
        <v>7.4170253510834163</v>
      </c>
      <c r="G638" s="359">
        <f t="shared" ca="1" si="272"/>
        <v>25.140370130948511</v>
      </c>
      <c r="H638" s="360">
        <f t="shared" ca="1" si="273"/>
        <v>-90.208141245126455</v>
      </c>
      <c r="I638" s="357">
        <f t="shared" ca="1" si="274"/>
        <v>93.645859263620267</v>
      </c>
      <c r="J638" s="359">
        <f t="shared" ca="1" si="275"/>
        <v>828.47236199255372</v>
      </c>
      <c r="K638" s="360">
        <f t="shared" ca="1" si="276"/>
        <v>937.05271246801237</v>
      </c>
      <c r="L638" s="357">
        <f t="shared" ca="1" si="261"/>
        <v>1250.7734569174308</v>
      </c>
      <c r="M638" s="359">
        <f t="shared" ca="1" si="277"/>
        <v>-1.2990000911416653</v>
      </c>
      <c r="N638" s="357">
        <f t="shared" ca="1" si="278"/>
        <v>-74.427222809526697</v>
      </c>
      <c r="O638" s="343"/>
      <c r="P638" s="363">
        <f t="shared" ca="1" si="279"/>
        <v>23</v>
      </c>
      <c r="Q638" s="357">
        <f t="shared" ca="1" si="280"/>
        <v>0</v>
      </c>
      <c r="R638" s="359">
        <f t="shared" ca="1" si="281"/>
        <v>0</v>
      </c>
      <c r="S638" s="360">
        <f t="shared" ca="1" si="282"/>
        <v>8.6519999999999992</v>
      </c>
      <c r="T638" s="357">
        <f t="shared" ca="1" si="262"/>
        <v>84.87612</v>
      </c>
      <c r="U638" s="364">
        <f t="shared" ca="1" si="263"/>
        <v>0</v>
      </c>
      <c r="V638" s="359">
        <f t="shared" ca="1" si="264"/>
        <v>1.1153485042964288</v>
      </c>
      <c r="W638" s="357">
        <f t="shared" ca="1" si="265"/>
        <v>22.13947738933312</v>
      </c>
      <c r="X638" s="343"/>
      <c r="Y638" s="367" t="str">
        <f t="shared" ca="1" si="283"/>
        <v/>
      </c>
      <c r="Z638" s="368" t="str">
        <f t="shared" ca="1" si="284"/>
        <v/>
      </c>
      <c r="AA638" s="369" t="str">
        <f t="shared" ca="1" si="285"/>
        <v/>
      </c>
      <c r="AB638" s="344"/>
      <c r="AC638" s="363" t="e">
        <f t="shared" ca="1" si="286"/>
        <v>#N/A</v>
      </c>
      <c r="AD638" s="376" t="e">
        <f t="shared" ca="1" si="287"/>
        <v>#N/A</v>
      </c>
      <c r="AE638" s="377" t="e">
        <f t="shared" ca="1" si="266"/>
        <v>#N/A</v>
      </c>
      <c r="AF638" s="344"/>
      <c r="AG638" s="359">
        <f t="shared" ca="1" si="288"/>
        <v>6.9234580046123915</v>
      </c>
      <c r="AH638" s="357">
        <f t="shared" ca="1" si="289"/>
        <v>-2.5188989936702582</v>
      </c>
    </row>
    <row r="639" spans="1:34" x14ac:dyDescent="0.25">
      <c r="A639" s="402">
        <f t="shared" ca="1" si="267"/>
        <v>0.1</v>
      </c>
      <c r="B639" s="357">
        <f t="shared" ca="1" si="268"/>
        <v>27.500000000000078</v>
      </c>
      <c r="C639" s="342"/>
      <c r="D639" s="359">
        <f t="shared" ca="1" si="269"/>
        <v>-0.68696394292815399</v>
      </c>
      <c r="E639" s="360">
        <f t="shared" ca="1" si="270"/>
        <v>-7.3450505950711769</v>
      </c>
      <c r="F639" s="357">
        <f t="shared" ca="1" si="271"/>
        <v>7.3771056453760266</v>
      </c>
      <c r="G639" s="359">
        <f t="shared" ca="1" si="272"/>
        <v>25.071673736655697</v>
      </c>
      <c r="H639" s="360">
        <f t="shared" ca="1" si="273"/>
        <v>-90.94264630463357</v>
      </c>
      <c r="I639" s="357">
        <f t="shared" ca="1" si="274"/>
        <v>94.335326049402042</v>
      </c>
      <c r="J639" s="359">
        <f t="shared" ca="1" si="275"/>
        <v>830.98296418593395</v>
      </c>
      <c r="K639" s="360">
        <f t="shared" ca="1" si="276"/>
        <v>927.99517309052442</v>
      </c>
      <c r="L639" s="357">
        <f t="shared" ca="1" si="261"/>
        <v>1245.6756110828187</v>
      </c>
      <c r="M639" s="359">
        <f t="shared" ca="1" si="277"/>
        <v>-1.3017918525856549</v>
      </c>
      <c r="N639" s="357">
        <f t="shared" ca="1" si="278"/>
        <v>-74.587178957674652</v>
      </c>
      <c r="O639" s="343"/>
      <c r="P639" s="363">
        <f t="shared" ca="1" si="279"/>
        <v>23</v>
      </c>
      <c r="Q639" s="357">
        <f t="shared" ca="1" si="280"/>
        <v>0</v>
      </c>
      <c r="R639" s="359">
        <f t="shared" ca="1" si="281"/>
        <v>0</v>
      </c>
      <c r="S639" s="360">
        <f t="shared" ca="1" si="282"/>
        <v>8.6519999999999992</v>
      </c>
      <c r="T639" s="357">
        <f t="shared" ca="1" si="262"/>
        <v>84.87612</v>
      </c>
      <c r="U639" s="364">
        <f t="shared" ca="1" si="263"/>
        <v>0</v>
      </c>
      <c r="V639" s="359">
        <f t="shared" ca="1" si="264"/>
        <v>1.1163613962891588</v>
      </c>
      <c r="W639" s="357">
        <f t="shared" ca="1" si="265"/>
        <v>22.48708376861514</v>
      </c>
      <c r="X639" s="343"/>
      <c r="Y639" s="367" t="str">
        <f t="shared" ca="1" si="283"/>
        <v/>
      </c>
      <c r="Z639" s="368" t="str">
        <f t="shared" ca="1" si="284"/>
        <v/>
      </c>
      <c r="AA639" s="369" t="str">
        <f t="shared" ca="1" si="285"/>
        <v/>
      </c>
      <c r="AB639" s="344"/>
      <c r="AC639" s="363" t="e">
        <f t="shared" ca="1" si="286"/>
        <v>#N/A</v>
      </c>
      <c r="AD639" s="376" t="e">
        <f t="shared" ca="1" si="287"/>
        <v>#N/A</v>
      </c>
      <c r="AE639" s="377" t="e">
        <f t="shared" ca="1" si="266"/>
        <v>#N/A</v>
      </c>
      <c r="AF639" s="344"/>
      <c r="AG639" s="359">
        <f t="shared" ca="1" si="288"/>
        <v>6.8909916446422503</v>
      </c>
      <c r="AH639" s="357">
        <f t="shared" ca="1" si="289"/>
        <v>-2.5588855050084516</v>
      </c>
    </row>
    <row r="640" spans="1:34" x14ac:dyDescent="0.25">
      <c r="A640" s="402">
        <f t="shared" ca="1" si="267"/>
        <v>0.1</v>
      </c>
      <c r="B640" s="357">
        <f t="shared" ca="1" si="268"/>
        <v>27.60000000000008</v>
      </c>
      <c r="C640" s="342"/>
      <c r="D640" s="359">
        <f t="shared" ca="1" si="269"/>
        <v>-0.69075748518691416</v>
      </c>
      <c r="E640" s="360">
        <f t="shared" ca="1" si="270"/>
        <v>-7.3044108511675647</v>
      </c>
      <c r="F640" s="357">
        <f t="shared" ca="1" si="271"/>
        <v>7.3369996446773946</v>
      </c>
      <c r="G640" s="359">
        <f t="shared" ca="1" si="272"/>
        <v>25.002597988137005</v>
      </c>
      <c r="H640" s="360">
        <f t="shared" ca="1" si="273"/>
        <v>-91.673087389750322</v>
      </c>
      <c r="I640" s="357">
        <f t="shared" ca="1" si="274"/>
        <v>95.021496819010338</v>
      </c>
      <c r="J640" s="359">
        <f t="shared" ca="1" si="275"/>
        <v>833.48667777217361</v>
      </c>
      <c r="K640" s="360">
        <f t="shared" ca="1" si="276"/>
        <v>918.86438640580525</v>
      </c>
      <c r="L640" s="357">
        <f t="shared" ca="1" si="261"/>
        <v>1240.5691446383037</v>
      </c>
      <c r="M640" s="359">
        <f t="shared" ca="1" si="277"/>
        <v>-1.3045356791584826</v>
      </c>
      <c r="N640" s="357">
        <f t="shared" ca="1" si="278"/>
        <v>-74.744388640013526</v>
      </c>
      <c r="O640" s="343"/>
      <c r="P640" s="363">
        <f t="shared" ca="1" si="279"/>
        <v>23</v>
      </c>
      <c r="Q640" s="357">
        <f t="shared" ca="1" si="280"/>
        <v>0</v>
      </c>
      <c r="R640" s="359">
        <f t="shared" ca="1" si="281"/>
        <v>0</v>
      </c>
      <c r="S640" s="360">
        <f t="shared" ca="1" si="282"/>
        <v>8.6519999999999992</v>
      </c>
      <c r="T640" s="357">
        <f t="shared" ca="1" si="262"/>
        <v>84.87612</v>
      </c>
      <c r="U640" s="364">
        <f t="shared" ca="1" si="263"/>
        <v>0</v>
      </c>
      <c r="V640" s="359">
        <f t="shared" ca="1" si="264"/>
        <v>1.117383367227277</v>
      </c>
      <c r="W640" s="357">
        <f t="shared" ca="1" si="265"/>
        <v>22.836290284220862</v>
      </c>
      <c r="X640" s="343"/>
      <c r="Y640" s="367" t="str">
        <f t="shared" ca="1" si="283"/>
        <v/>
      </c>
      <c r="Z640" s="368" t="str">
        <f t="shared" ca="1" si="284"/>
        <v/>
      </c>
      <c r="AA640" s="369" t="str">
        <f t="shared" ca="1" si="285"/>
        <v/>
      </c>
      <c r="AB640" s="344"/>
      <c r="AC640" s="363" t="e">
        <f t="shared" ca="1" si="286"/>
        <v>#N/A</v>
      </c>
      <c r="AD640" s="376" t="e">
        <f t="shared" ca="1" si="287"/>
        <v>#N/A</v>
      </c>
      <c r="AE640" s="377" t="e">
        <f t="shared" ca="1" si="266"/>
        <v>#N/A</v>
      </c>
      <c r="AF640" s="344"/>
      <c r="AG640" s="359">
        <f t="shared" ca="1" si="288"/>
        <v>6.858130811599616</v>
      </c>
      <c r="AH640" s="357">
        <f t="shared" ca="1" si="289"/>
        <v>-2.5990619242504787</v>
      </c>
    </row>
    <row r="641" spans="1:34" x14ac:dyDescent="0.25">
      <c r="A641" s="402">
        <f t="shared" ca="1" si="267"/>
        <v>0.1</v>
      </c>
      <c r="B641" s="357">
        <f t="shared" ca="1" si="268"/>
        <v>27.700000000000081</v>
      </c>
      <c r="C641" s="342"/>
      <c r="D641" s="359">
        <f t="shared" ca="1" si="269"/>
        <v>-0.69450010354829961</v>
      </c>
      <c r="E641" s="360">
        <f t="shared" ca="1" si="270"/>
        <v>-7.2635858747566147</v>
      </c>
      <c r="F641" s="357">
        <f t="shared" ca="1" si="271"/>
        <v>7.2967122838845997</v>
      </c>
      <c r="G641" s="359">
        <f t="shared" ca="1" si="272"/>
        <v>24.933147977782173</v>
      </c>
      <c r="H641" s="360">
        <f t="shared" ca="1" si="273"/>
        <v>-92.39944597722598</v>
      </c>
      <c r="I641" s="357">
        <f t="shared" ca="1" si="274"/>
        <v>95.704333679203287</v>
      </c>
      <c r="J641" s="359">
        <f t="shared" ca="1" si="275"/>
        <v>835.98346507046961</v>
      </c>
      <c r="K641" s="360">
        <f t="shared" ca="1" si="276"/>
        <v>909.66075973745649</v>
      </c>
      <c r="L641" s="357">
        <f t="shared" ca="1" si="261"/>
        <v>1235.4558072538878</v>
      </c>
      <c r="M641" s="359">
        <f t="shared" ca="1" si="277"/>
        <v>-1.3072328049415969</v>
      </c>
      <c r="N641" s="357">
        <f t="shared" ca="1" si="278"/>
        <v>-74.898922564201882</v>
      </c>
      <c r="O641" s="343"/>
      <c r="P641" s="363">
        <f t="shared" ca="1" si="279"/>
        <v>23</v>
      </c>
      <c r="Q641" s="357">
        <f t="shared" ca="1" si="280"/>
        <v>0</v>
      </c>
      <c r="R641" s="359">
        <f t="shared" ca="1" si="281"/>
        <v>0</v>
      </c>
      <c r="S641" s="360">
        <f t="shared" ca="1" si="282"/>
        <v>8.6519999999999992</v>
      </c>
      <c r="T641" s="357">
        <f t="shared" ca="1" si="262"/>
        <v>84.87612</v>
      </c>
      <c r="U641" s="364">
        <f t="shared" ca="1" si="263"/>
        <v>0</v>
      </c>
      <c r="V641" s="359">
        <f t="shared" ca="1" si="264"/>
        <v>1.1184143940944189</v>
      </c>
      <c r="W641" s="357">
        <f t="shared" ca="1" si="265"/>
        <v>23.187054006404288</v>
      </c>
      <c r="X641" s="343"/>
      <c r="Y641" s="367" t="str">
        <f t="shared" ca="1" si="283"/>
        <v/>
      </c>
      <c r="Z641" s="368" t="str">
        <f t="shared" ca="1" si="284"/>
        <v/>
      </c>
      <c r="AA641" s="369" t="str">
        <f t="shared" ca="1" si="285"/>
        <v/>
      </c>
      <c r="AB641" s="344"/>
      <c r="AC641" s="363" t="e">
        <f t="shared" ca="1" si="286"/>
        <v>#N/A</v>
      </c>
      <c r="AD641" s="376" t="e">
        <f t="shared" ca="1" si="287"/>
        <v>#N/A</v>
      </c>
      <c r="AE641" s="377" t="e">
        <f t="shared" ca="1" si="266"/>
        <v>#N/A</v>
      </c>
      <c r="AF641" s="344"/>
      <c r="AG641" s="359">
        <f t="shared" ca="1" si="288"/>
        <v>6.824887604149362</v>
      </c>
      <c r="AH641" s="357">
        <f t="shared" ca="1" si="289"/>
        <v>-2.6394232875890968</v>
      </c>
    </row>
    <row r="642" spans="1:34" x14ac:dyDescent="0.25">
      <c r="A642" s="402">
        <f t="shared" ca="1" si="267"/>
        <v>0.1</v>
      </c>
      <c r="B642" s="357">
        <f t="shared" ca="1" si="268"/>
        <v>27.800000000000082</v>
      </c>
      <c r="C642" s="342"/>
      <c r="D642" s="359">
        <f t="shared" ca="1" si="269"/>
        <v>-0.69819152598308154</v>
      </c>
      <c r="E642" s="360">
        <f t="shared" ca="1" si="270"/>
        <v>-7.2225806238218482</v>
      </c>
      <c r="F642" s="357">
        <f t="shared" ca="1" si="271"/>
        <v>7.2562484986776319</v>
      </c>
      <c r="G642" s="359">
        <f t="shared" ca="1" si="272"/>
        <v>24.863328825183864</v>
      </c>
      <c r="H642" s="360">
        <f t="shared" ca="1" si="273"/>
        <v>-93.121704039608161</v>
      </c>
      <c r="I642" s="357">
        <f t="shared" ca="1" si="274"/>
        <v>96.383799901796749</v>
      </c>
      <c r="J642" s="359">
        <f t="shared" ca="1" si="275"/>
        <v>838.47328891061795</v>
      </c>
      <c r="K642" s="360">
        <f t="shared" ca="1" si="276"/>
        <v>900.38470223661477</v>
      </c>
      <c r="L642" s="357">
        <f t="shared" ca="1" si="261"/>
        <v>1230.3373798427431</v>
      </c>
      <c r="M642" s="359">
        <f t="shared" ca="1" si="277"/>
        <v>-1.3098844230895927</v>
      </c>
      <c r="N642" s="357">
        <f t="shared" ca="1" si="278"/>
        <v>-75.050849092962352</v>
      </c>
      <c r="O642" s="343"/>
      <c r="P642" s="363">
        <f t="shared" ca="1" si="279"/>
        <v>23</v>
      </c>
      <c r="Q642" s="357">
        <f t="shared" ca="1" si="280"/>
        <v>0</v>
      </c>
      <c r="R642" s="359">
        <f t="shared" ca="1" si="281"/>
        <v>0</v>
      </c>
      <c r="S642" s="360">
        <f t="shared" ca="1" si="282"/>
        <v>8.6519999999999992</v>
      </c>
      <c r="T642" s="357">
        <f t="shared" ca="1" si="262"/>
        <v>84.87612</v>
      </c>
      <c r="U642" s="364">
        <f t="shared" ca="1" si="263"/>
        <v>0</v>
      </c>
      <c r="V642" s="359">
        <f t="shared" ca="1" si="264"/>
        <v>1.1194544537381823</v>
      </c>
      <c r="W642" s="357">
        <f t="shared" ca="1" si="265"/>
        <v>23.539332031527355</v>
      </c>
      <c r="X642" s="343"/>
      <c r="Y642" s="367" t="str">
        <f t="shared" ca="1" si="283"/>
        <v/>
      </c>
      <c r="Z642" s="368" t="str">
        <f t="shared" ca="1" si="284"/>
        <v/>
      </c>
      <c r="AA642" s="369" t="str">
        <f t="shared" ca="1" si="285"/>
        <v/>
      </c>
      <c r="AB642" s="344"/>
      <c r="AC642" s="363" t="e">
        <f t="shared" ca="1" si="286"/>
        <v>#N/A</v>
      </c>
      <c r="AD642" s="376" t="e">
        <f t="shared" ca="1" si="287"/>
        <v>#N/A</v>
      </c>
      <c r="AE642" s="377" t="e">
        <f t="shared" ca="1" si="266"/>
        <v>#N/A</v>
      </c>
      <c r="AF642" s="344"/>
      <c r="AG642" s="359">
        <f t="shared" ca="1" si="288"/>
        <v>6.7912738174577827</v>
      </c>
      <c r="AH642" s="357">
        <f t="shared" ca="1" si="289"/>
        <v>-2.6799646331951328</v>
      </c>
    </row>
    <row r="643" spans="1:34" x14ac:dyDescent="0.25">
      <c r="A643" s="402">
        <f t="shared" ca="1" si="267"/>
        <v>0.1</v>
      </c>
      <c r="B643" s="357">
        <f t="shared" ca="1" si="268"/>
        <v>27.900000000000084</v>
      </c>
      <c r="C643" s="342"/>
      <c r="D643" s="359">
        <f t="shared" ca="1" si="269"/>
        <v>-0.70183149509013032</v>
      </c>
      <c r="E643" s="360">
        <f t="shared" ca="1" si="270"/>
        <v>-7.1814000554398598</v>
      </c>
      <c r="F643" s="357">
        <f t="shared" ca="1" si="271"/>
        <v>7.2156132243747706</v>
      </c>
      <c r="G643" s="359">
        <f t="shared" ca="1" si="272"/>
        <v>24.79314567567485</v>
      </c>
      <c r="H643" s="360">
        <f t="shared" ca="1" si="273"/>
        <v>-93.839844045152148</v>
      </c>
      <c r="I643" s="357">
        <f t="shared" ca="1" si="274"/>
        <v>97.059859895395022</v>
      </c>
      <c r="J643" s="359">
        <f t="shared" ca="1" si="275"/>
        <v>840.95611263566093</v>
      </c>
      <c r="K643" s="360">
        <f t="shared" ca="1" si="276"/>
        <v>891.03662483237679</v>
      </c>
      <c r="L643" s="357">
        <f t="shared" ca="1" si="261"/>
        <v>1225.2156749617418</v>
      </c>
      <c r="M643" s="359">
        <f t="shared" ca="1" si="277"/>
        <v>-1.3124916874538193</v>
      </c>
      <c r="N643" s="357">
        <f t="shared" ca="1" si="278"/>
        <v>-75.200234337107389</v>
      </c>
      <c r="O643" s="343"/>
      <c r="P643" s="363">
        <f t="shared" ca="1" si="279"/>
        <v>23</v>
      </c>
      <c r="Q643" s="357">
        <f t="shared" ca="1" si="280"/>
        <v>0</v>
      </c>
      <c r="R643" s="359">
        <f t="shared" ca="1" si="281"/>
        <v>0</v>
      </c>
      <c r="S643" s="360">
        <f t="shared" ca="1" si="282"/>
        <v>8.6519999999999992</v>
      </c>
      <c r="T643" s="357">
        <f t="shared" ca="1" si="262"/>
        <v>84.87612</v>
      </c>
      <c r="U643" s="364">
        <f t="shared" ca="1" si="263"/>
        <v>0</v>
      </c>
      <c r="V643" s="359">
        <f t="shared" ca="1" si="264"/>
        <v>1.1205035228723679</v>
      </c>
      <c r="W643" s="357">
        <f t="shared" ca="1" si="265"/>
        <v>23.893081490988791</v>
      </c>
      <c r="X643" s="343"/>
      <c r="Y643" s="367" t="str">
        <f t="shared" ca="1" si="283"/>
        <v/>
      </c>
      <c r="Z643" s="368" t="str">
        <f t="shared" ca="1" si="284"/>
        <v/>
      </c>
      <c r="AA643" s="369" t="str">
        <f t="shared" ca="1" si="285"/>
        <v/>
      </c>
      <c r="AB643" s="344"/>
      <c r="AC643" s="363" t="e">
        <f t="shared" ca="1" si="286"/>
        <v>#N/A</v>
      </c>
      <c r="AD643" s="376" t="e">
        <f t="shared" ca="1" si="287"/>
        <v>#N/A</v>
      </c>
      <c r="AE643" s="377" t="e">
        <f t="shared" ca="1" si="266"/>
        <v>#N/A</v>
      </c>
      <c r="AF643" s="344"/>
      <c r="AG643" s="359">
        <f t="shared" ca="1" si="288"/>
        <v>6.7573009569449312</v>
      </c>
      <c r="AH643" s="357">
        <f t="shared" ca="1" si="289"/>
        <v>-2.7206810022569758</v>
      </c>
    </row>
    <row r="644" spans="1:34" x14ac:dyDescent="0.25">
      <c r="A644" s="402">
        <f t="shared" ca="1" si="267"/>
        <v>0.1</v>
      </c>
      <c r="B644" s="357">
        <f t="shared" ca="1" si="268"/>
        <v>28.000000000000085</v>
      </c>
      <c r="C644" s="342"/>
      <c r="D644" s="359">
        <f t="shared" ca="1" si="269"/>
        <v>-0.70541976783422766</v>
      </c>
      <c r="E644" s="360">
        <f t="shared" ca="1" si="270"/>
        <v>-7.1400491246305098</v>
      </c>
      <c r="F644" s="357">
        <f t="shared" ca="1" si="271"/>
        <v>7.1748113948025285</v>
      </c>
      <c r="G644" s="359">
        <f t="shared" ca="1" si="272"/>
        <v>24.722603698891426</v>
      </c>
      <c r="H644" s="360">
        <f t="shared" ca="1" si="273"/>
        <v>-94.553848957615202</v>
      </c>
      <c r="I644" s="357">
        <f t="shared" ca="1" si="274"/>
        <v>97.732479178377289</v>
      </c>
      <c r="J644" s="359">
        <f t="shared" ca="1" si="275"/>
        <v>843.43190010438923</v>
      </c>
      <c r="K644" s="360">
        <f t="shared" ca="1" si="276"/>
        <v>881.61694018223841</v>
      </c>
      <c r="L644" s="357">
        <f t="shared" ref="L644:L707" ca="1" si="290">SQRT(pos_x^2+pos_z^2)</f>
        <v>1220.0925371995327</v>
      </c>
      <c r="M644" s="359">
        <f t="shared" ca="1" si="277"/>
        <v>-1.3150557141323462</v>
      </c>
      <c r="N644" s="357">
        <f t="shared" ca="1" si="278"/>
        <v>-75.347142244345932</v>
      </c>
      <c r="O644" s="343"/>
      <c r="P644" s="363">
        <f t="shared" ca="1" si="279"/>
        <v>23</v>
      </c>
      <c r="Q644" s="357">
        <f t="shared" ca="1" si="280"/>
        <v>0</v>
      </c>
      <c r="R644" s="359">
        <f t="shared" ca="1" si="281"/>
        <v>0</v>
      </c>
      <c r="S644" s="360">
        <f t="shared" ca="1" si="282"/>
        <v>8.6519999999999992</v>
      </c>
      <c r="T644" s="357">
        <f t="shared" ref="T644:T707" ca="1" si="291">m*g</f>
        <v>84.87612</v>
      </c>
      <c r="U644" s="364">
        <f t="shared" ref="U644:U707" ca="1" si="292">IF(pos_xz&lt;L_rampe,Poids*COS(Beta),0)</f>
        <v>0</v>
      </c>
      <c r="V644" s="359">
        <f t="shared" ref="V644:V707" ca="1" si="293">Rho_moyen*(20000-Alt_rampe-pos_z)/(20000+Alt_rampe+pos_z)</f>
        <v>1.1215615780792294</v>
      </c>
      <c r="W644" s="357">
        <f t="shared" ref="W644:W707" ca="1" si="294">1/2*Rho*Sref*Cx*vit_xz^2</f>
        <v>24.248259560085309</v>
      </c>
      <c r="X644" s="343"/>
      <c r="Y644" s="367" t="str">
        <f t="shared" ca="1" si="283"/>
        <v/>
      </c>
      <c r="Z644" s="368" t="str">
        <f t="shared" ca="1" si="284"/>
        <v/>
      </c>
      <c r="AA644" s="369" t="str">
        <f t="shared" ca="1" si="285"/>
        <v/>
      </c>
      <c r="AB644" s="344"/>
      <c r="AC644" s="363">
        <f t="shared" ca="1" si="286"/>
        <v>28.000000000000085</v>
      </c>
      <c r="AD644" s="376">
        <f t="shared" ca="1" si="287"/>
        <v>843.43190010438923</v>
      </c>
      <c r="AE644" s="377" t="e">
        <f t="shared" ref="AE644:AE707" ca="1" si="295">IF(t&lt;T_para, pos_z, NA())</f>
        <v>#N/A</v>
      </c>
      <c r="AF644" s="344"/>
      <c r="AG644" s="359">
        <f t="shared" ca="1" si="288"/>
        <v>6.7229802512273826</v>
      </c>
      <c r="AH644" s="357">
        <f t="shared" ca="1" si="289"/>
        <v>-2.7615674400125743</v>
      </c>
    </row>
    <row r="645" spans="1:34" x14ac:dyDescent="0.25">
      <c r="A645" s="402">
        <f t="shared" ref="A645:A708" ca="1" si="296">IF(B644+0.01&lt;=T_ini+ROUNDUP(Temps_fin_propu,0), 0.01, IF(K644&gt;0, 0.1, 0.0001))</f>
        <v>0.1</v>
      </c>
      <c r="B645" s="357">
        <f t="shared" ref="B645:B708" ca="1" si="297">B644+pas</f>
        <v>28.100000000000087</v>
      </c>
      <c r="C645" s="342"/>
      <c r="D645" s="359">
        <f t="shared" ref="D645:D708" ca="1" si="298">IF(AND(L644&lt;L_rampe,Poussee&lt;Poids*SIN(M644)),0,(-W644+Poussee)/m*COS(M644)-U644/m*SIN(M644))</f>
        <v>-0.70895611529261515</v>
      </c>
      <c r="E645" s="360">
        <f t="shared" ref="E645:E708" ca="1" si="299">IF(AND(L644&lt;L_rampe,Poussee&lt;Poids*SIN(M644)),0,(-W644+Poussee)/m*SIN(M644)+U644/m*COS(M644)-Poids/m)</f>
        <v>-7.0985327832213159</v>
      </c>
      <c r="F645" s="357">
        <f t="shared" ref="F645:F708" ca="1" si="300">SQRT(acc_x^2+acc_z^2)</f>
        <v>7.1338479411800302</v>
      </c>
      <c r="G645" s="359">
        <f t="shared" ref="G645:G708" ca="1" si="301">G644+acc_x*pas</f>
        <v>24.651708087362163</v>
      </c>
      <c r="H645" s="360">
        <f t="shared" ref="H645:H708" ca="1" si="302">H644+acc_z*pas</f>
        <v>-95.26370223593733</v>
      </c>
      <c r="I645" s="357">
        <f t="shared" ref="I645:I708" ca="1" si="303">SQRT(vit_x^2+vit_z^2)</f>
        <v>98.401624353065685</v>
      </c>
      <c r="J645" s="359">
        <f t="shared" ref="J645:J708" ca="1" si="304">J644+0.5*(vit_x+G644)*pas*(K644&gt;=0)</f>
        <v>845.90061569370187</v>
      </c>
      <c r="K645" s="360">
        <f t="shared" ref="K645:K708" ca="1" si="305">K644+0.5*(vit_z+H644)*pas</f>
        <v>872.12606262256077</v>
      </c>
      <c r="L645" s="357">
        <f t="shared" ca="1" si="290"/>
        <v>1214.9698435502482</v>
      </c>
      <c r="M645" s="359">
        <f t="shared" ref="M645:M708" ca="1" si="306">IF(AND(L644&gt;L_rampe,G645&gt;0),ATAN2(G645,H645),$M$4)</f>
        <v>-1.3175775829499643</v>
      </c>
      <c r="N645" s="357">
        <f t="shared" ref="N645:N708" ca="1" si="307">DEGREES(Beta)</f>
        <v>-75.491634684081092</v>
      </c>
      <c r="O645" s="343"/>
      <c r="P645" s="363">
        <f t="shared" ref="P645:P708" ca="1" si="308">MATCH(t-pas/2-T_ini,CdP_t)</f>
        <v>23</v>
      </c>
      <c r="Q645" s="357">
        <f t="shared" ref="Q645:Q708" ca="1" si="309">(INDEX(CdP,2,i_P+1)-INDEX(CdP,2,i_P+0))/(INDEX(CdP,1,i_P+1)-INDEX(CdP,1,i_P+0))*(t-pas/2-T_ini-INDEX(CdP,1,i_P+0))+INDEX(CdP,2,i_P+0)</f>
        <v>0</v>
      </c>
      <c r="R645" s="359">
        <f t="shared" ref="R645:R708" ca="1" si="310">Poussee/(g*ISP)</f>
        <v>0</v>
      </c>
      <c r="S645" s="360">
        <f t="shared" ref="S645:S708" ca="1" si="311">S644-Débit*pas</f>
        <v>8.6519999999999992</v>
      </c>
      <c r="T645" s="357">
        <f t="shared" ca="1" si="291"/>
        <v>84.87612</v>
      </c>
      <c r="U645" s="364">
        <f t="shared" ca="1" si="292"/>
        <v>0</v>
      </c>
      <c r="V645" s="359">
        <f t="shared" ca="1" si="293"/>
        <v>1.1226285958117295</v>
      </c>
      <c r="W645" s="357">
        <f t="shared" ca="1" si="294"/>
        <v>24.604823466801953</v>
      </c>
      <c r="X645" s="343"/>
      <c r="Y645" s="367" t="str">
        <f t="shared" ref="Y645:Y708" ca="1" si="312">IF(AND(pos_z&lt;=0,K644&gt;0),"Impact balistique","") &amp; IF(AND(H646&lt;0,vit_z&gt;=0),"Apogée","") &amp; IF(AND(Poussee=0,Q644&gt;0),"Fin de propulsion","") &amp; IF(AND(L646&gt;L_rampe,pos_xz&lt;=L_rampe),"Sortie de rampe","")</f>
        <v/>
      </c>
      <c r="Z645" s="368" t="str">
        <f t="shared" ref="Z645:Z708" ca="1" si="313">IF(ABS(t-T_para)&lt;pas/2,"Para","")</f>
        <v/>
      </c>
      <c r="AA645" s="369" t="str">
        <f t="shared" ref="AA645:AA708" ca="1" si="314">IF(ABS(t-T_satellite)&lt;pas/2,"Satellite","")</f>
        <v/>
      </c>
      <c r="AB645" s="344"/>
      <c r="AC645" s="363" t="e">
        <f t="shared" ref="AC645:AC708" ca="1" si="315">IF(ABS(t-ROUND(t,0))&lt;0.001,t,NA())</f>
        <v>#N/A</v>
      </c>
      <c r="AD645" s="376" t="e">
        <f t="shared" ref="AD645:AD708" ca="1" si="316">IF(ABS(t-ROUND(t,0))&lt;0.001,pos_x,NA())</f>
        <v>#N/A</v>
      </c>
      <c r="AE645" s="377" t="e">
        <f t="shared" ca="1" si="295"/>
        <v>#N/A</v>
      </c>
      <c r="AF645" s="344"/>
      <c r="AG645" s="359">
        <f t="shared" ref="AG645:AG708" ca="1" si="317">IF(AND(L644&lt;L_rampe,Poussee&lt;Poids*SIN(M644)),0,(-W644+Poussee)/m-Poids*SIN(M644)/m)</f>
        <v>6.6883226643013778</v>
      </c>
      <c r="AH645" s="357">
        <f t="shared" ref="AH645:AH708" ca="1" si="318">IF(AND(L644&lt;L_rampe,Poussee&lt;Poids*SIN(M644)), g*SIN(M644), (-W644+Poussee)/m)</f>
        <v>-2.8026189967736141</v>
      </c>
    </row>
    <row r="646" spans="1:34" x14ac:dyDescent="0.25">
      <c r="A646" s="402">
        <f t="shared" ca="1" si="296"/>
        <v>0.1</v>
      </c>
      <c r="B646" s="357">
        <f t="shared" ca="1" si="297"/>
        <v>28.200000000000088</v>
      </c>
      <c r="C646" s="342"/>
      <c r="D646" s="359">
        <f t="shared" ca="1" si="298"/>
        <v>-0.71244032240970168</v>
      </c>
      <c r="E646" s="360">
        <f t="shared" ca="1" si="299"/>
        <v>-7.0568559787260012</v>
      </c>
      <c r="F646" s="357">
        <f t="shared" ca="1" si="300"/>
        <v>7.0927277910177935</v>
      </c>
      <c r="G646" s="359">
        <f t="shared" ca="1" si="301"/>
        <v>24.580464055121194</v>
      </c>
      <c r="H646" s="360">
        <f t="shared" ca="1" si="302"/>
        <v>-95.969387833809932</v>
      </c>
      <c r="I646" s="357">
        <f t="shared" ca="1" si="303"/>
        <v>99.067263081006388</v>
      </c>
      <c r="J646" s="359">
        <f t="shared" ca="1" si="304"/>
        <v>848.36222430082603</v>
      </c>
      <c r="K646" s="360">
        <f t="shared" ca="1" si="305"/>
        <v>862.56440811907339</v>
      </c>
      <c r="L646" s="357">
        <f t="shared" ca="1" si="290"/>
        <v>1209.8495037708005</v>
      </c>
      <c r="M646" s="359">
        <f t="shared" ca="1" si="306"/>
        <v>-1.3200583388717011</v>
      </c>
      <c r="N646" s="357">
        <f t="shared" ca="1" si="307"/>
        <v>-75.633771528398697</v>
      </c>
      <c r="O646" s="343"/>
      <c r="P646" s="363">
        <f t="shared" ca="1" si="308"/>
        <v>23</v>
      </c>
      <c r="Q646" s="357">
        <f t="shared" ca="1" si="309"/>
        <v>0</v>
      </c>
      <c r="R646" s="359">
        <f t="shared" ca="1" si="310"/>
        <v>0</v>
      </c>
      <c r="S646" s="360">
        <f t="shared" ca="1" si="311"/>
        <v>8.6519999999999992</v>
      </c>
      <c r="T646" s="357">
        <f t="shared" ca="1" si="291"/>
        <v>84.87612</v>
      </c>
      <c r="U646" s="364">
        <f t="shared" ca="1" si="292"/>
        <v>0</v>
      </c>
      <c r="V646" s="359">
        <f t="shared" ca="1" si="293"/>
        <v>1.1237045523958069</v>
      </c>
      <c r="W646" s="357">
        <f t="shared" ca="1" si="294"/>
        <v>24.962730500529194</v>
      </c>
      <c r="X646" s="343"/>
      <c r="Y646" s="367" t="str">
        <f t="shared" ca="1" si="312"/>
        <v/>
      </c>
      <c r="Z646" s="368" t="str">
        <f t="shared" ca="1" si="313"/>
        <v/>
      </c>
      <c r="AA646" s="369" t="str">
        <f t="shared" ca="1" si="314"/>
        <v/>
      </c>
      <c r="AB646" s="344"/>
      <c r="AC646" s="363" t="e">
        <f t="shared" ca="1" si="315"/>
        <v>#N/A</v>
      </c>
      <c r="AD646" s="376" t="e">
        <f t="shared" ca="1" si="316"/>
        <v>#N/A</v>
      </c>
      <c r="AE646" s="377" t="e">
        <f t="shared" ca="1" si="295"/>
        <v>#N/A</v>
      </c>
      <c r="AF646" s="344"/>
      <c r="AG646" s="359">
        <f t="shared" ca="1" si="317"/>
        <v>6.6533389070130804</v>
      </c>
      <c r="AH646" s="357">
        <f t="shared" ca="1" si="318"/>
        <v>-2.8438307289415112</v>
      </c>
    </row>
    <row r="647" spans="1:34" x14ac:dyDescent="0.25">
      <c r="A647" s="402">
        <f t="shared" ca="1" si="296"/>
        <v>0.1</v>
      </c>
      <c r="B647" s="357">
        <f t="shared" ca="1" si="297"/>
        <v>28.30000000000009</v>
      </c>
      <c r="C647" s="342"/>
      <c r="D647" s="359">
        <f t="shared" ca="1" si="298"/>
        <v>-0.71587218775939288</v>
      </c>
      <c r="E647" s="360">
        <f t="shared" ca="1" si="299"/>
        <v>-7.0150236532371091</v>
      </c>
      <c r="F647" s="357">
        <f t="shared" ca="1" si="300"/>
        <v>7.0514558670308309</v>
      </c>
      <c r="G647" s="359">
        <f t="shared" ca="1" si="301"/>
        <v>24.508876836345255</v>
      </c>
      <c r="H647" s="360">
        <f t="shared" ca="1" si="302"/>
        <v>-96.670890199133638</v>
      </c>
      <c r="I647" s="357">
        <f t="shared" ca="1" si="303"/>
        <v>99.729364059298476</v>
      </c>
      <c r="J647" s="359">
        <f t="shared" ca="1" si="304"/>
        <v>850.81669134539936</v>
      </c>
      <c r="K647" s="360">
        <f t="shared" ca="1" si="305"/>
        <v>852.93239421742624</v>
      </c>
      <c r="L647" s="357">
        <f t="shared" ca="1" si="290"/>
        <v>1204.7334607195917</v>
      </c>
      <c r="M647" s="359">
        <f t="shared" ca="1" si="306"/>
        <v>-1.3224989933531566</v>
      </c>
      <c r="N647" s="357">
        <f t="shared" ca="1" si="307"/>
        <v>-75.773610729435788</v>
      </c>
      <c r="O647" s="343"/>
      <c r="P647" s="363">
        <f t="shared" ca="1" si="308"/>
        <v>23</v>
      </c>
      <c r="Q647" s="357">
        <f t="shared" ca="1" si="309"/>
        <v>0</v>
      </c>
      <c r="R647" s="359">
        <f t="shared" ca="1" si="310"/>
        <v>0</v>
      </c>
      <c r="S647" s="360">
        <f t="shared" ca="1" si="311"/>
        <v>8.6519999999999992</v>
      </c>
      <c r="T647" s="357">
        <f t="shared" ca="1" si="291"/>
        <v>84.87612</v>
      </c>
      <c r="U647" s="364">
        <f t="shared" ca="1" si="292"/>
        <v>0</v>
      </c>
      <c r="V647" s="359">
        <f t="shared" ca="1" si="293"/>
        <v>1.1247894240326521</v>
      </c>
      <c r="W647" s="357">
        <f t="shared" ca="1" si="294"/>
        <v>25.321938020703698</v>
      </c>
      <c r="X647" s="343"/>
      <c r="Y647" s="367" t="str">
        <f t="shared" ca="1" si="312"/>
        <v/>
      </c>
      <c r="Z647" s="368" t="str">
        <f t="shared" ca="1" si="313"/>
        <v/>
      </c>
      <c r="AA647" s="369" t="str">
        <f t="shared" ca="1" si="314"/>
        <v/>
      </c>
      <c r="AB647" s="344"/>
      <c r="AC647" s="363" t="e">
        <f t="shared" ca="1" si="315"/>
        <v>#N/A</v>
      </c>
      <c r="AD647" s="376" t="e">
        <f t="shared" ca="1" si="316"/>
        <v>#N/A</v>
      </c>
      <c r="AE647" s="377" t="e">
        <f t="shared" ca="1" si="295"/>
        <v>#N/A</v>
      </c>
      <c r="AF647" s="344"/>
      <c r="AG647" s="359">
        <f t="shared" ca="1" si="317"/>
        <v>6.6180394478595641</v>
      </c>
      <c r="AH647" s="357">
        <f t="shared" ca="1" si="318"/>
        <v>-2.8851977000149325</v>
      </c>
    </row>
    <row r="648" spans="1:34" x14ac:dyDescent="0.25">
      <c r="A648" s="402">
        <f t="shared" ca="1" si="296"/>
        <v>0.1</v>
      </c>
      <c r="B648" s="357">
        <f t="shared" ca="1" si="297"/>
        <v>28.400000000000091</v>
      </c>
      <c r="C648" s="342"/>
      <c r="D648" s="359">
        <f t="shared" ca="1" si="298"/>
        <v>-0.71925152331452269</v>
      </c>
      <c r="E648" s="360">
        <f t="shared" ca="1" si="299"/>
        <v>-6.9730407423326799</v>
      </c>
      <c r="F648" s="357">
        <f t="shared" ca="1" si="300"/>
        <v>7.0100370860660748</v>
      </c>
      <c r="G648" s="359">
        <f t="shared" ca="1" si="301"/>
        <v>24.436951684013803</v>
      </c>
      <c r="H648" s="360">
        <f t="shared" ca="1" si="302"/>
        <v>-97.36819427336691</v>
      </c>
      <c r="I648" s="357">
        <f t="shared" ca="1" si="303"/>
        <v>100.38789699790979</v>
      </c>
      <c r="J648" s="359">
        <f t="shared" ca="1" si="304"/>
        <v>853.26398277141732</v>
      </c>
      <c r="K648" s="360">
        <f t="shared" ca="1" si="305"/>
        <v>843.23043999380116</v>
      </c>
      <c r="L648" s="357">
        <f t="shared" ca="1" si="290"/>
        <v>1199.6236906743218</v>
      </c>
      <c r="M648" s="359">
        <f t="shared" ca="1" si="306"/>
        <v>-1.3249005256307762</v>
      </c>
      <c r="N648" s="357">
        <f t="shared" ca="1" si="307"/>
        <v>-75.911208393307831</v>
      </c>
      <c r="O648" s="343"/>
      <c r="P648" s="363">
        <f t="shared" ca="1" si="308"/>
        <v>23</v>
      </c>
      <c r="Q648" s="357">
        <f t="shared" ca="1" si="309"/>
        <v>0</v>
      </c>
      <c r="R648" s="359">
        <f t="shared" ca="1" si="310"/>
        <v>0</v>
      </c>
      <c r="S648" s="360">
        <f t="shared" ca="1" si="311"/>
        <v>8.6519999999999992</v>
      </c>
      <c r="T648" s="357">
        <f t="shared" ca="1" si="291"/>
        <v>84.87612</v>
      </c>
      <c r="U648" s="364">
        <f t="shared" ca="1" si="292"/>
        <v>0</v>
      </c>
      <c r="V648" s="359">
        <f t="shared" ca="1" si="293"/>
        <v>1.1258831868009889</v>
      </c>
      <c r="W648" s="357">
        <f t="shared" ca="1" si="294"/>
        <v>25.68240346537026</v>
      </c>
      <c r="X648" s="343"/>
      <c r="Y648" s="367" t="str">
        <f t="shared" ca="1" si="312"/>
        <v/>
      </c>
      <c r="Z648" s="368" t="str">
        <f t="shared" ca="1" si="313"/>
        <v/>
      </c>
      <c r="AA648" s="369" t="str">
        <f t="shared" ca="1" si="314"/>
        <v/>
      </c>
      <c r="AB648" s="344"/>
      <c r="AC648" s="363" t="e">
        <f t="shared" ca="1" si="315"/>
        <v>#N/A</v>
      </c>
      <c r="AD648" s="376" t="e">
        <f t="shared" ca="1" si="316"/>
        <v>#N/A</v>
      </c>
      <c r="AE648" s="377" t="e">
        <f t="shared" ca="1" si="295"/>
        <v>#N/A</v>
      </c>
      <c r="AF648" s="344"/>
      <c r="AG648" s="359">
        <f t="shared" ca="1" si="317"/>
        <v>6.5824345231614068</v>
      </c>
      <c r="AH648" s="357">
        <f t="shared" ca="1" si="318"/>
        <v>-2.9267149815884999</v>
      </c>
    </row>
    <row r="649" spans="1:34" x14ac:dyDescent="0.25">
      <c r="A649" s="402">
        <f t="shared" ca="1" si="296"/>
        <v>0.1</v>
      </c>
      <c r="B649" s="357">
        <f t="shared" ca="1" si="297"/>
        <v>28.500000000000092</v>
      </c>
      <c r="C649" s="342"/>
      <c r="D649" s="359">
        <f t="shared" ca="1" si="298"/>
        <v>-0.72257815422292648</v>
      </c>
      <c r="E649" s="360">
        <f t="shared" ca="1" si="299"/>
        <v>-6.930912173996953</v>
      </c>
      <c r="F649" s="357">
        <f t="shared" ca="1" si="300"/>
        <v>6.9684763580440867</v>
      </c>
      <c r="G649" s="359">
        <f t="shared" ca="1" si="301"/>
        <v>24.364693868591509</v>
      </c>
      <c r="H649" s="360">
        <f t="shared" ca="1" si="302"/>
        <v>-98.061285490766608</v>
      </c>
      <c r="I649" s="357">
        <f t="shared" ca="1" si="303"/>
        <v>101.04283259792261</v>
      </c>
      <c r="J649" s="359">
        <f t="shared" ca="1" si="304"/>
        <v>855.70406504904759</v>
      </c>
      <c r="K649" s="360">
        <f t="shared" ca="1" si="305"/>
        <v>833.45896600559445</v>
      </c>
      <c r="L649" s="357">
        <f t="shared" ca="1" si="290"/>
        <v>1194.5222036264456</v>
      </c>
      <c r="M649" s="359">
        <f t="shared" ca="1" si="306"/>
        <v>-1.3272638839550239</v>
      </c>
      <c r="N649" s="357">
        <f t="shared" ca="1" si="307"/>
        <v>-76.046618850764332</v>
      </c>
      <c r="O649" s="343"/>
      <c r="P649" s="363">
        <f t="shared" ca="1" si="308"/>
        <v>23</v>
      </c>
      <c r="Q649" s="357">
        <f t="shared" ca="1" si="309"/>
        <v>0</v>
      </c>
      <c r="R649" s="359">
        <f t="shared" ca="1" si="310"/>
        <v>0</v>
      </c>
      <c r="S649" s="360">
        <f t="shared" ca="1" si="311"/>
        <v>8.6519999999999992</v>
      </c>
      <c r="T649" s="357">
        <f t="shared" ca="1" si="291"/>
        <v>84.87612</v>
      </c>
      <c r="U649" s="364">
        <f t="shared" ca="1" si="292"/>
        <v>0</v>
      </c>
      <c r="V649" s="359">
        <f t="shared" ca="1" si="293"/>
        <v>1.1269858166593634</v>
      </c>
      <c r="W649" s="357">
        <f t="shared" ca="1" si="294"/>
        <v>26.044084359662165</v>
      </c>
      <c r="X649" s="343"/>
      <c r="Y649" s="367" t="str">
        <f t="shared" ca="1" si="312"/>
        <v/>
      </c>
      <c r="Z649" s="368" t="str">
        <f t="shared" ca="1" si="313"/>
        <v/>
      </c>
      <c r="AA649" s="369" t="str">
        <f t="shared" ca="1" si="314"/>
        <v/>
      </c>
      <c r="AB649" s="344"/>
      <c r="AC649" s="363" t="e">
        <f t="shared" ca="1" si="315"/>
        <v>#N/A</v>
      </c>
      <c r="AD649" s="376" t="e">
        <f t="shared" ca="1" si="316"/>
        <v>#N/A</v>
      </c>
      <c r="AE649" s="377" t="e">
        <f t="shared" ca="1" si="295"/>
        <v>#N/A</v>
      </c>
      <c r="AF649" s="344"/>
      <c r="AG649" s="359">
        <f t="shared" ca="1" si="317"/>
        <v>6.5465341466451195</v>
      </c>
      <c r="AH649" s="357">
        <f t="shared" ca="1" si="318"/>
        <v>-2.9683776543423788</v>
      </c>
    </row>
    <row r="650" spans="1:34" x14ac:dyDescent="0.25">
      <c r="A650" s="402">
        <f t="shared" ca="1" si="296"/>
        <v>0.1</v>
      </c>
      <c r="B650" s="357">
        <f t="shared" ca="1" si="297"/>
        <v>28.600000000000094</v>
      </c>
      <c r="C650" s="342"/>
      <c r="D650" s="359">
        <f t="shared" ca="1" si="298"/>
        <v>-0.7258519185897091</v>
      </c>
      <c r="E650" s="360">
        <f t="shared" ca="1" si="299"/>
        <v>-6.8886428675551086</v>
      </c>
      <c r="F650" s="357">
        <f t="shared" ca="1" si="300"/>
        <v>6.9267785849150849</v>
      </c>
      <c r="G650" s="359">
        <f t="shared" ca="1" si="301"/>
        <v>24.292108676732539</v>
      </c>
      <c r="H650" s="360">
        <f t="shared" ca="1" si="302"/>
        <v>-98.750149777522125</v>
      </c>
      <c r="I650" s="357">
        <f t="shared" ca="1" si="303"/>
        <v>101.69414253065531</v>
      </c>
      <c r="J650" s="359">
        <f t="shared" ca="1" si="304"/>
        <v>858.1369051763138</v>
      </c>
      <c r="K650" s="360">
        <f t="shared" ca="1" si="305"/>
        <v>823.61839424217999</v>
      </c>
      <c r="L650" s="357">
        <f t="shared" ca="1" si="290"/>
        <v>1189.4310435496666</v>
      </c>
      <c r="M650" s="359">
        <f t="shared" ca="1" si="306"/>
        <v>-1.3295899867692607</v>
      </c>
      <c r="N650" s="357">
        <f t="shared" ca="1" si="307"/>
        <v>-76.1798947247336</v>
      </c>
      <c r="O650" s="343"/>
      <c r="P650" s="363">
        <f t="shared" ca="1" si="308"/>
        <v>23</v>
      </c>
      <c r="Q650" s="357">
        <f t="shared" ca="1" si="309"/>
        <v>0</v>
      </c>
      <c r="R650" s="359">
        <f t="shared" ca="1" si="310"/>
        <v>0</v>
      </c>
      <c r="S650" s="360">
        <f t="shared" ca="1" si="311"/>
        <v>8.6519999999999992</v>
      </c>
      <c r="T650" s="357">
        <f t="shared" ca="1" si="291"/>
        <v>84.87612</v>
      </c>
      <c r="U650" s="364">
        <f t="shared" ca="1" si="292"/>
        <v>0</v>
      </c>
      <c r="V650" s="359">
        <f t="shared" ca="1" si="293"/>
        <v>1.1280972894484422</v>
      </c>
      <c r="W650" s="357">
        <f t="shared" ca="1" si="294"/>
        <v>26.40693832419754</v>
      </c>
      <c r="X650" s="343"/>
      <c r="Y650" s="367" t="str">
        <f t="shared" ca="1" si="312"/>
        <v/>
      </c>
      <c r="Z650" s="368" t="str">
        <f t="shared" ca="1" si="313"/>
        <v/>
      </c>
      <c r="AA650" s="369" t="str">
        <f t="shared" ca="1" si="314"/>
        <v/>
      </c>
      <c r="AB650" s="344"/>
      <c r="AC650" s="363" t="e">
        <f t="shared" ca="1" si="315"/>
        <v>#N/A</v>
      </c>
      <c r="AD650" s="376" t="e">
        <f t="shared" ca="1" si="316"/>
        <v>#N/A</v>
      </c>
      <c r="AE650" s="377" t="e">
        <f t="shared" ca="1" si="295"/>
        <v>#N/A</v>
      </c>
      <c r="AF650" s="344"/>
      <c r="AG650" s="359">
        <f t="shared" ca="1" si="317"/>
        <v>6.5103481184712066</v>
      </c>
      <c r="AH650" s="357">
        <f t="shared" ca="1" si="318"/>
        <v>-3.010180809022442</v>
      </c>
    </row>
    <row r="651" spans="1:34" x14ac:dyDescent="0.25">
      <c r="A651" s="402">
        <f t="shared" ca="1" si="296"/>
        <v>0.1</v>
      </c>
      <c r="B651" s="357">
        <f t="shared" ca="1" si="297"/>
        <v>28.700000000000095</v>
      </c>
      <c r="C651" s="342"/>
      <c r="D651" s="359">
        <f t="shared" ca="1" si="298"/>
        <v>-0.72907266726528508</v>
      </c>
      <c r="E651" s="360">
        <f t="shared" ca="1" si="299"/>
        <v>-6.8462377326220487</v>
      </c>
      <c r="F651" s="357">
        <f t="shared" ca="1" si="300"/>
        <v>6.8849486596292939</v>
      </c>
      <c r="G651" s="359">
        <f t="shared" ca="1" si="301"/>
        <v>24.219201410006011</v>
      </c>
      <c r="H651" s="360">
        <f t="shared" ca="1" si="302"/>
        <v>-99.434773550784328</v>
      </c>
      <c r="I651" s="357">
        <f t="shared" ca="1" si="303"/>
        <v>102.34179941760939</v>
      </c>
      <c r="J651" s="359">
        <f t="shared" ca="1" si="304"/>
        <v>860.56247068065068</v>
      </c>
      <c r="K651" s="360">
        <f t="shared" ca="1" si="305"/>
        <v>813.70914807576469</v>
      </c>
      <c r="L651" s="357">
        <f t="shared" ca="1" si="290"/>
        <v>1184.3522886397327</v>
      </c>
      <c r="M651" s="359">
        <f t="shared" ca="1" si="306"/>
        <v>-1.3318797238369788</v>
      </c>
      <c r="N651" s="357">
        <f t="shared" ca="1" si="307"/>
        <v>-76.311086994908507</v>
      </c>
      <c r="O651" s="343"/>
      <c r="P651" s="363">
        <f t="shared" ca="1" si="308"/>
        <v>23</v>
      </c>
      <c r="Q651" s="357">
        <f t="shared" ca="1" si="309"/>
        <v>0</v>
      </c>
      <c r="R651" s="359">
        <f t="shared" ca="1" si="310"/>
        <v>0</v>
      </c>
      <c r="S651" s="360">
        <f t="shared" ca="1" si="311"/>
        <v>8.6519999999999992</v>
      </c>
      <c r="T651" s="357">
        <f t="shared" ca="1" si="291"/>
        <v>84.87612</v>
      </c>
      <c r="U651" s="364">
        <f t="shared" ca="1" si="292"/>
        <v>0</v>
      </c>
      <c r="V651" s="359">
        <f t="shared" ca="1" si="293"/>
        <v>1.1292175808933156</v>
      </c>
      <c r="W651" s="357">
        <f t="shared" ca="1" si="294"/>
        <v>26.770923083389047</v>
      </c>
      <c r="X651" s="343"/>
      <c r="Y651" s="367" t="str">
        <f t="shared" ca="1" si="312"/>
        <v/>
      </c>
      <c r="Z651" s="368" t="str">
        <f t="shared" ca="1" si="313"/>
        <v/>
      </c>
      <c r="AA651" s="369" t="str">
        <f t="shared" ca="1" si="314"/>
        <v/>
      </c>
      <c r="AB651" s="344"/>
      <c r="AC651" s="363" t="e">
        <f t="shared" ca="1" si="315"/>
        <v>#N/A</v>
      </c>
      <c r="AD651" s="376" t="e">
        <f t="shared" ca="1" si="316"/>
        <v>#N/A</v>
      </c>
      <c r="AE651" s="377" t="e">
        <f t="shared" ca="1" si="295"/>
        <v>#N/A</v>
      </c>
      <c r="AF651" s="344"/>
      <c r="AG651" s="359">
        <f t="shared" ca="1" si="317"/>
        <v>6.4738860337413069</v>
      </c>
      <c r="AH651" s="357">
        <f t="shared" ca="1" si="318"/>
        <v>-3.0521195474107192</v>
      </c>
    </row>
    <row r="652" spans="1:34" x14ac:dyDescent="0.25">
      <c r="A652" s="402">
        <f t="shared" ca="1" si="296"/>
        <v>0.1</v>
      </c>
      <c r="B652" s="357">
        <f t="shared" ca="1" si="297"/>
        <v>28.800000000000097</v>
      </c>
      <c r="C652" s="342"/>
      <c r="D652" s="359">
        <f t="shared" ca="1" si="298"/>
        <v>-0.73224026363881833</v>
      </c>
      <c r="E652" s="360">
        <f t="shared" ca="1" si="299"/>
        <v>-6.8037016680652638</v>
      </c>
      <c r="F652" s="357">
        <f t="shared" ca="1" si="300"/>
        <v>6.8429914651216608</v>
      </c>
      <c r="G652" s="359">
        <f t="shared" ca="1" si="301"/>
        <v>24.14597738364213</v>
      </c>
      <c r="H652" s="360">
        <f t="shared" ca="1" si="302"/>
        <v>-100.11514371759085</v>
      </c>
      <c r="I652" s="357">
        <f t="shared" ca="1" si="303"/>
        <v>102.9857768111948</v>
      </c>
      <c r="J652" s="359">
        <f t="shared" ca="1" si="304"/>
        <v>862.98072962033314</v>
      </c>
      <c r="K652" s="360">
        <f t="shared" ca="1" si="305"/>
        <v>803.73165221234592</v>
      </c>
      <c r="L652" s="357">
        <f t="shared" ca="1" si="290"/>
        <v>1179.2880515226252</v>
      </c>
      <c r="M652" s="359">
        <f t="shared" ca="1" si="306"/>
        <v>-1.3341339573199136</v>
      </c>
      <c r="N652" s="357">
        <f t="shared" ca="1" si="307"/>
        <v>-76.44024505951775</v>
      </c>
      <c r="O652" s="343"/>
      <c r="P652" s="363">
        <f t="shared" ca="1" si="308"/>
        <v>23</v>
      </c>
      <c r="Q652" s="357">
        <f t="shared" ca="1" si="309"/>
        <v>0</v>
      </c>
      <c r="R652" s="359">
        <f t="shared" ca="1" si="310"/>
        <v>0</v>
      </c>
      <c r="S652" s="360">
        <f t="shared" ca="1" si="311"/>
        <v>8.6519999999999992</v>
      </c>
      <c r="T652" s="357">
        <f t="shared" ca="1" si="291"/>
        <v>84.87612</v>
      </c>
      <c r="U652" s="364">
        <f t="shared" ca="1" si="292"/>
        <v>0</v>
      </c>
      <c r="V652" s="359">
        <f t="shared" ca="1" si="293"/>
        <v>1.1303466666058037</v>
      </c>
      <c r="W652" s="357">
        <f t="shared" ca="1" si="294"/>
        <v>27.135996473664601</v>
      </c>
      <c r="X652" s="343"/>
      <c r="Y652" s="367" t="str">
        <f t="shared" ca="1" si="312"/>
        <v/>
      </c>
      <c r="Z652" s="368" t="str">
        <f t="shared" ca="1" si="313"/>
        <v/>
      </c>
      <c r="AA652" s="369" t="str">
        <f t="shared" ca="1" si="314"/>
        <v/>
      </c>
      <c r="AB652" s="344"/>
      <c r="AC652" s="363" t="e">
        <f t="shared" ca="1" si="315"/>
        <v>#N/A</v>
      </c>
      <c r="AD652" s="376" t="e">
        <f t="shared" ca="1" si="316"/>
        <v>#N/A</v>
      </c>
      <c r="AE652" s="377" t="e">
        <f t="shared" ca="1" si="295"/>
        <v>#N/A</v>
      </c>
      <c r="AF652" s="344"/>
      <c r="AG652" s="359">
        <f t="shared" ca="1" si="317"/>
        <v>6.4371572905158825</v>
      </c>
      <c r="AH652" s="357">
        <f t="shared" ca="1" si="318"/>
        <v>-3.0941889832858354</v>
      </c>
    </row>
    <row r="653" spans="1:34" x14ac:dyDescent="0.25">
      <c r="A653" s="402">
        <f t="shared" ca="1" si="296"/>
        <v>0.1</v>
      </c>
      <c r="B653" s="357">
        <f t="shared" ca="1" si="297"/>
        <v>28.900000000000098</v>
      </c>
      <c r="C653" s="342"/>
      <c r="D653" s="359">
        <f t="shared" ca="1" si="298"/>
        <v>-0.73535458343668847</v>
      </c>
      <c r="E653" s="360">
        <f t="shared" ca="1" si="299"/>
        <v>-6.7610395609817928</v>
      </c>
      <c r="F653" s="357">
        <f t="shared" ca="1" si="300"/>
        <v>6.8009118733109766</v>
      </c>
      <c r="G653" s="359">
        <f t="shared" ca="1" si="301"/>
        <v>24.07244192529846</v>
      </c>
      <c r="H653" s="360">
        <f t="shared" ca="1" si="302"/>
        <v>-100.79124767368903</v>
      </c>
      <c r="I653" s="357">
        <f t="shared" ca="1" si="303"/>
        <v>103.62604917618827</v>
      </c>
      <c r="J653" s="359">
        <f t="shared" ca="1" si="304"/>
        <v>865.39165058578021</v>
      </c>
      <c r="K653" s="360">
        <f t="shared" ca="1" si="305"/>
        <v>793.68633264278196</v>
      </c>
      <c r="L653" s="357">
        <f t="shared" ca="1" si="290"/>
        <v>1174.2404794280981</v>
      </c>
      <c r="M653" s="359">
        <f t="shared" ca="1" si="306"/>
        <v>-1.3363535228094123</v>
      </c>
      <c r="N653" s="357">
        <f t="shared" ca="1" si="307"/>
        <v>-76.567416794418918</v>
      </c>
      <c r="O653" s="343"/>
      <c r="P653" s="363">
        <f t="shared" ca="1" si="308"/>
        <v>23</v>
      </c>
      <c r="Q653" s="357">
        <f t="shared" ca="1" si="309"/>
        <v>0</v>
      </c>
      <c r="R653" s="359">
        <f t="shared" ca="1" si="310"/>
        <v>0</v>
      </c>
      <c r="S653" s="360">
        <f t="shared" ca="1" si="311"/>
        <v>8.6519999999999992</v>
      </c>
      <c r="T653" s="357">
        <f t="shared" ca="1" si="291"/>
        <v>84.87612</v>
      </c>
      <c r="U653" s="364">
        <f t="shared" ca="1" si="292"/>
        <v>0</v>
      </c>
      <c r="V653" s="359">
        <f t="shared" ca="1" si="293"/>
        <v>1.1314845220867735</v>
      </c>
      <c r="W653" s="357">
        <f t="shared" ca="1" si="294"/>
        <v>27.50211645159667</v>
      </c>
      <c r="X653" s="343"/>
      <c r="Y653" s="367" t="str">
        <f t="shared" ca="1" si="312"/>
        <v/>
      </c>
      <c r="Z653" s="368" t="str">
        <f t="shared" ca="1" si="313"/>
        <v/>
      </c>
      <c r="AA653" s="369" t="str">
        <f t="shared" ca="1" si="314"/>
        <v/>
      </c>
      <c r="AB653" s="344"/>
      <c r="AC653" s="363" t="e">
        <f t="shared" ca="1" si="315"/>
        <v>#N/A</v>
      </c>
      <c r="AD653" s="376" t="e">
        <f t="shared" ca="1" si="316"/>
        <v>#N/A</v>
      </c>
      <c r="AE653" s="377" t="e">
        <f t="shared" ca="1" si="295"/>
        <v>#N/A</v>
      </c>
      <c r="AF653" s="344"/>
      <c r="AG653" s="359">
        <f t="shared" ca="1" si="317"/>
        <v>6.4001710973717785</v>
      </c>
      <c r="AH653" s="357">
        <f t="shared" ca="1" si="318"/>
        <v>-3.1363842433731626</v>
      </c>
    </row>
    <row r="654" spans="1:34" x14ac:dyDescent="0.25">
      <c r="A654" s="402">
        <f t="shared" ca="1" si="296"/>
        <v>0.1</v>
      </c>
      <c r="B654" s="357">
        <f t="shared" ca="1" si="297"/>
        <v>29.000000000000099</v>
      </c>
      <c r="C654" s="342"/>
      <c r="D654" s="359">
        <f t="shared" ca="1" si="298"/>
        <v>-0.73841551452565002</v>
      </c>
      <c r="E654" s="360">
        <f t="shared" ca="1" si="299"/>
        <v>-6.7182562856893657</v>
      </c>
      <c r="F654" s="357">
        <f t="shared" ca="1" si="300"/>
        <v>6.7587147441134734</v>
      </c>
      <c r="G654" s="359">
        <f t="shared" ca="1" si="301"/>
        <v>23.998600373845896</v>
      </c>
      <c r="H654" s="360">
        <f t="shared" ca="1" si="302"/>
        <v>-101.46307330225797</v>
      </c>
      <c r="I654" s="357">
        <f t="shared" ca="1" si="303"/>
        <v>104.26259187188342</v>
      </c>
      <c r="J654" s="359">
        <f t="shared" ca="1" si="304"/>
        <v>867.79520270073738</v>
      </c>
      <c r="K654" s="360">
        <f t="shared" ca="1" si="305"/>
        <v>783.57361659398464</v>
      </c>
      <c r="L654" s="357">
        <f t="shared" ca="1" si="290"/>
        <v>1169.2117543253621</v>
      </c>
      <c r="M654" s="359">
        <f t="shared" ca="1" si="306"/>
        <v>-1.3385392303133223</v>
      </c>
      <c r="N654" s="357">
        <f t="shared" ca="1" si="307"/>
        <v>-76.69264860964303</v>
      </c>
      <c r="O654" s="343"/>
      <c r="P654" s="363">
        <f t="shared" ca="1" si="308"/>
        <v>23</v>
      </c>
      <c r="Q654" s="357">
        <f t="shared" ca="1" si="309"/>
        <v>0</v>
      </c>
      <c r="R654" s="359">
        <f t="shared" ca="1" si="310"/>
        <v>0</v>
      </c>
      <c r="S654" s="360">
        <f t="shared" ca="1" si="311"/>
        <v>8.6519999999999992</v>
      </c>
      <c r="T654" s="357">
        <f t="shared" ca="1" si="291"/>
        <v>84.87612</v>
      </c>
      <c r="U654" s="364">
        <f t="shared" ca="1" si="292"/>
        <v>0</v>
      </c>
      <c r="V654" s="359">
        <f t="shared" ca="1" si="293"/>
        <v>1.1326311227284565</v>
      </c>
      <c r="W654" s="357">
        <f t="shared" ca="1" si="294"/>
        <v>27.869241101937906</v>
      </c>
      <c r="X654" s="343"/>
      <c r="Y654" s="367" t="str">
        <f t="shared" ca="1" si="312"/>
        <v/>
      </c>
      <c r="Z654" s="368" t="str">
        <f t="shared" ca="1" si="313"/>
        <v/>
      </c>
      <c r="AA654" s="369" t="str">
        <f t="shared" ca="1" si="314"/>
        <v/>
      </c>
      <c r="AB654" s="344"/>
      <c r="AC654" s="363">
        <f t="shared" ca="1" si="315"/>
        <v>29.000000000000099</v>
      </c>
      <c r="AD654" s="376">
        <f t="shared" ca="1" si="316"/>
        <v>867.79520270073738</v>
      </c>
      <c r="AE654" s="377" t="e">
        <f t="shared" ca="1" si="295"/>
        <v>#N/A</v>
      </c>
      <c r="AF654" s="344"/>
      <c r="AG654" s="359">
        <f t="shared" ca="1" si="317"/>
        <v>6.362936480527229</v>
      </c>
      <c r="AH654" s="357">
        <f t="shared" ca="1" si="318"/>
        <v>-3.1787004682844051</v>
      </c>
    </row>
    <row r="655" spans="1:34" x14ac:dyDescent="0.25">
      <c r="A655" s="402">
        <f t="shared" ca="1" si="296"/>
        <v>0.1</v>
      </c>
      <c r="B655" s="357">
        <f t="shared" ca="1" si="297"/>
        <v>29.100000000000101</v>
      </c>
      <c r="C655" s="342"/>
      <c r="D655" s="359">
        <f t="shared" ca="1" si="298"/>
        <v>-0.74142295672037051</v>
      </c>
      <c r="E655" s="360">
        <f t="shared" ca="1" si="299"/>
        <v>-6.6753567027317313</v>
      </c>
      <c r="F655" s="357">
        <f t="shared" ca="1" si="300"/>
        <v>6.7164049244709352</v>
      </c>
      <c r="G655" s="359">
        <f t="shared" ca="1" si="301"/>
        <v>23.92445807817386</v>
      </c>
      <c r="H655" s="360">
        <f t="shared" ca="1" si="302"/>
        <v>-102.13060897253114</v>
      </c>
      <c r="I655" s="357">
        <f t="shared" ca="1" si="303"/>
        <v>104.89538113489247</v>
      </c>
      <c r="J655" s="359">
        <f t="shared" ca="1" si="304"/>
        <v>870.19135562333838</v>
      </c>
      <c r="K655" s="360">
        <f t="shared" ca="1" si="305"/>
        <v>773.39393248024521</v>
      </c>
      <c r="L655" s="357">
        <f t="shared" ca="1" si="290"/>
        <v>1164.2040930175608</v>
      </c>
      <c r="M655" s="359">
        <f t="shared" ca="1" si="306"/>
        <v>-1.3406918652005366</v>
      </c>
      <c r="N655" s="357">
        <f t="shared" ca="1" si="307"/>
        <v>-76.815985503513033</v>
      </c>
      <c r="O655" s="343"/>
      <c r="P655" s="363">
        <f t="shared" ca="1" si="308"/>
        <v>23</v>
      </c>
      <c r="Q655" s="357">
        <f t="shared" ca="1" si="309"/>
        <v>0</v>
      </c>
      <c r="R655" s="359">
        <f t="shared" ca="1" si="310"/>
        <v>0</v>
      </c>
      <c r="S655" s="360">
        <f t="shared" ca="1" si="311"/>
        <v>8.6519999999999992</v>
      </c>
      <c r="T655" s="357">
        <f t="shared" ca="1" si="291"/>
        <v>84.87612</v>
      </c>
      <c r="U655" s="364">
        <f t="shared" ca="1" si="292"/>
        <v>0</v>
      </c>
      <c r="V655" s="359">
        <f t="shared" ca="1" si="293"/>
        <v>1.1337864438167728</v>
      </c>
      <c r="W655" s="357">
        <f t="shared" ca="1" si="294"/>
        <v>28.237328645560762</v>
      </c>
      <c r="X655" s="343"/>
      <c r="Y655" s="367" t="str">
        <f t="shared" ca="1" si="312"/>
        <v/>
      </c>
      <c r="Z655" s="368" t="str">
        <f t="shared" ca="1" si="313"/>
        <v/>
      </c>
      <c r="AA655" s="369" t="str">
        <f t="shared" ca="1" si="314"/>
        <v/>
      </c>
      <c r="AB655" s="344"/>
      <c r="AC655" s="363" t="e">
        <f t="shared" ca="1" si="315"/>
        <v>#N/A</v>
      </c>
      <c r="AD655" s="376" t="e">
        <f t="shared" ca="1" si="316"/>
        <v>#N/A</v>
      </c>
      <c r="AE655" s="377" t="e">
        <f t="shared" ca="1" si="295"/>
        <v>#N/A</v>
      </c>
      <c r="AF655" s="344"/>
      <c r="AG655" s="359">
        <f t="shared" ca="1" si="317"/>
        <v>6.3254622905601465</v>
      </c>
      <c r="AH655" s="357">
        <f t="shared" ca="1" si="318"/>
        <v>-3.2211328134463604</v>
      </c>
    </row>
    <row r="656" spans="1:34" x14ac:dyDescent="0.25">
      <c r="A656" s="402">
        <f t="shared" ca="1" si="296"/>
        <v>0.1</v>
      </c>
      <c r="B656" s="357">
        <f t="shared" ca="1" si="297"/>
        <v>29.200000000000102</v>
      </c>
      <c r="C656" s="342"/>
      <c r="D656" s="359">
        <f t="shared" ca="1" si="298"/>
        <v>-0.74437682159505203</v>
      </c>
      <c r="E656" s="360">
        <f t="shared" ca="1" si="299"/>
        <v>-6.6323456578982771</v>
      </c>
      <c r="F656" s="357">
        <f t="shared" ca="1" si="300"/>
        <v>6.6739872473934261</v>
      </c>
      <c r="G656" s="359">
        <f t="shared" ca="1" si="301"/>
        <v>23.850020396014354</v>
      </c>
      <c r="H656" s="360">
        <f t="shared" ca="1" si="302"/>
        <v>-102.79384353832096</v>
      </c>
      <c r="I656" s="357">
        <f t="shared" ca="1" si="303"/>
        <v>105.52439406256313</v>
      </c>
      <c r="J656" s="359">
        <f t="shared" ca="1" si="304"/>
        <v>872.58007954704783</v>
      </c>
      <c r="K656" s="360">
        <f t="shared" ca="1" si="305"/>
        <v>763.14770985470261</v>
      </c>
      <c r="L656" s="357">
        <f t="shared" ca="1" si="290"/>
        <v>1159.2197471915365</v>
      </c>
      <c r="M656" s="359">
        <f t="shared" ca="1" si="306"/>
        <v>-1.3428121891052309</v>
      </c>
      <c r="N656" s="357">
        <f t="shared" ca="1" si="307"/>
        <v>-76.93747111445272</v>
      </c>
      <c r="O656" s="343"/>
      <c r="P656" s="363">
        <f t="shared" ca="1" si="308"/>
        <v>23</v>
      </c>
      <c r="Q656" s="357">
        <f t="shared" ca="1" si="309"/>
        <v>0</v>
      </c>
      <c r="R656" s="359">
        <f t="shared" ca="1" si="310"/>
        <v>0</v>
      </c>
      <c r="S656" s="360">
        <f t="shared" ca="1" si="311"/>
        <v>8.6519999999999992</v>
      </c>
      <c r="T656" s="357">
        <f t="shared" ca="1" si="291"/>
        <v>84.87612</v>
      </c>
      <c r="U656" s="364">
        <f t="shared" ca="1" si="292"/>
        <v>0</v>
      </c>
      <c r="V656" s="359">
        <f t="shared" ca="1" si="293"/>
        <v>1.1349504605336593</v>
      </c>
      <c r="W656" s="357">
        <f t="shared" ca="1" si="294"/>
        <v>28.606337447299044</v>
      </c>
      <c r="X656" s="343"/>
      <c r="Y656" s="367" t="str">
        <f t="shared" ca="1" si="312"/>
        <v/>
      </c>
      <c r="Z656" s="368" t="str">
        <f t="shared" ca="1" si="313"/>
        <v/>
      </c>
      <c r="AA656" s="369" t="str">
        <f t="shared" ca="1" si="314"/>
        <v/>
      </c>
      <c r="AB656" s="344"/>
      <c r="AC656" s="363" t="e">
        <f t="shared" ca="1" si="315"/>
        <v>#N/A</v>
      </c>
      <c r="AD656" s="376" t="e">
        <f t="shared" ca="1" si="316"/>
        <v>#N/A</v>
      </c>
      <c r="AE656" s="377" t="e">
        <f t="shared" ca="1" si="295"/>
        <v>#N/A</v>
      </c>
      <c r="AF656" s="344"/>
      <c r="AG656" s="359">
        <f t="shared" ca="1" si="317"/>
        <v>6.287757208743896</v>
      </c>
      <c r="AH656" s="357">
        <f t="shared" ca="1" si="318"/>
        <v>-3.2636764500185813</v>
      </c>
    </row>
    <row r="657" spans="1:34" x14ac:dyDescent="0.25">
      <c r="A657" s="402">
        <f t="shared" ca="1" si="296"/>
        <v>0.1</v>
      </c>
      <c r="B657" s="357">
        <f t="shared" ca="1" si="297"/>
        <v>29.300000000000104</v>
      </c>
      <c r="C657" s="342"/>
      <c r="D657" s="359">
        <f t="shared" ca="1" si="298"/>
        <v>-0.74727703229885467</v>
      </c>
      <c r="E657" s="360">
        <f t="shared" ca="1" si="299"/>
        <v>-6.5892279812579897</v>
      </c>
      <c r="F657" s="357">
        <f t="shared" ca="1" si="300"/>
        <v>6.6314665310166969</v>
      </c>
      <c r="G657" s="359">
        <f t="shared" ca="1" si="301"/>
        <v>23.775292692784468</v>
      </c>
      <c r="H657" s="360">
        <f t="shared" ca="1" si="302"/>
        <v>-103.45276633644676</v>
      </c>
      <c r="I657" s="357">
        <f t="shared" ca="1" si="303"/>
        <v>106.14960859697516</v>
      </c>
      <c r="J657" s="359">
        <f t="shared" ca="1" si="304"/>
        <v>874.9613452014878</v>
      </c>
      <c r="K657" s="360">
        <f t="shared" ca="1" si="305"/>
        <v>752.83537936096423</v>
      </c>
      <c r="L657" s="357">
        <f t="shared" ca="1" si="290"/>
        <v>1154.2610034192285</v>
      </c>
      <c r="M657" s="359">
        <f t="shared" ca="1" si="306"/>
        <v>-1.3449009407927102</v>
      </c>
      <c r="N657" s="357">
        <f t="shared" ca="1" si="307"/>
        <v>-77.057147770596103</v>
      </c>
      <c r="O657" s="343"/>
      <c r="P657" s="363">
        <f t="shared" ca="1" si="308"/>
        <v>23</v>
      </c>
      <c r="Q657" s="357">
        <f t="shared" ca="1" si="309"/>
        <v>0</v>
      </c>
      <c r="R657" s="359">
        <f t="shared" ca="1" si="310"/>
        <v>0</v>
      </c>
      <c r="S657" s="360">
        <f t="shared" ca="1" si="311"/>
        <v>8.6519999999999992</v>
      </c>
      <c r="T657" s="357">
        <f t="shared" ca="1" si="291"/>
        <v>84.87612</v>
      </c>
      <c r="U657" s="364">
        <f t="shared" ca="1" si="292"/>
        <v>0</v>
      </c>
      <c r="V657" s="359">
        <f t="shared" ca="1" si="293"/>
        <v>1.1361231479594016</v>
      </c>
      <c r="W657" s="357">
        <f t="shared" ca="1" si="294"/>
        <v>28.976226023689247</v>
      </c>
      <c r="X657" s="343"/>
      <c r="Y657" s="367" t="str">
        <f t="shared" ca="1" si="312"/>
        <v/>
      </c>
      <c r="Z657" s="368" t="str">
        <f t="shared" ca="1" si="313"/>
        <v/>
      </c>
      <c r="AA657" s="369" t="str">
        <f t="shared" ca="1" si="314"/>
        <v/>
      </c>
      <c r="AB657" s="344"/>
      <c r="AC657" s="363" t="e">
        <f t="shared" ca="1" si="315"/>
        <v>#N/A</v>
      </c>
      <c r="AD657" s="376" t="e">
        <f t="shared" ca="1" si="316"/>
        <v>#N/A</v>
      </c>
      <c r="AE657" s="377" t="e">
        <f t="shared" ca="1" si="295"/>
        <v>#N/A</v>
      </c>
      <c r="AF657" s="344"/>
      <c r="AG657" s="359">
        <f t="shared" ca="1" si="317"/>
        <v>6.249829753023274</v>
      </c>
      <c r="AH657" s="357">
        <f t="shared" ca="1" si="318"/>
        <v>-3.3063265657997047</v>
      </c>
    </row>
    <row r="658" spans="1:34" x14ac:dyDescent="0.25">
      <c r="A658" s="402">
        <f t="shared" ca="1" si="296"/>
        <v>0.1</v>
      </c>
      <c r="B658" s="357">
        <f t="shared" ca="1" si="297"/>
        <v>29.400000000000105</v>
      </c>
      <c r="C658" s="342"/>
      <c r="D658" s="359">
        <f t="shared" ca="1" si="298"/>
        <v>-0.75012352337488142</v>
      </c>
      <c r="E658" s="360">
        <f t="shared" ca="1" si="299"/>
        <v>-6.5460084862078194</v>
      </c>
      <c r="F658" s="357">
        <f t="shared" ca="1" si="300"/>
        <v>6.5888475776743487</v>
      </c>
      <c r="G658" s="359">
        <f t="shared" ca="1" si="301"/>
        <v>23.70028034044698</v>
      </c>
      <c r="H658" s="360">
        <f t="shared" ca="1" si="302"/>
        <v>-104.10736718506755</v>
      </c>
      <c r="I658" s="357">
        <f t="shared" ca="1" si="303"/>
        <v>106.77100350948406</v>
      </c>
      <c r="J658" s="359">
        <f t="shared" ca="1" si="304"/>
        <v>877.33512385314941</v>
      </c>
      <c r="K658" s="360">
        <f t="shared" ca="1" si="305"/>
        <v>742.45737268488847</v>
      </c>
      <c r="L658" s="357">
        <f t="shared" ca="1" si="290"/>
        <v>1149.3301831069123</v>
      </c>
      <c r="M658" s="359">
        <f t="shared" ca="1" si="306"/>
        <v>-1.346958836988694</v>
      </c>
      <c r="N658" s="357">
        <f t="shared" ca="1" si="307"/>
        <v>-77.175056537302012</v>
      </c>
      <c r="O658" s="343"/>
      <c r="P658" s="363">
        <f t="shared" ca="1" si="308"/>
        <v>23</v>
      </c>
      <c r="Q658" s="357">
        <f t="shared" ca="1" si="309"/>
        <v>0</v>
      </c>
      <c r="R658" s="359">
        <f t="shared" ca="1" si="310"/>
        <v>0</v>
      </c>
      <c r="S658" s="360">
        <f t="shared" ca="1" si="311"/>
        <v>8.6519999999999992</v>
      </c>
      <c r="T658" s="357">
        <f t="shared" ca="1" si="291"/>
        <v>84.87612</v>
      </c>
      <c r="U658" s="364">
        <f t="shared" ca="1" si="292"/>
        <v>0</v>
      </c>
      <c r="V658" s="359">
        <f t="shared" ca="1" si="293"/>
        <v>1.1373044810749671</v>
      </c>
      <c r="W658" s="357">
        <f t="shared" ca="1" si="294"/>
        <v>29.346953050609457</v>
      </c>
      <c r="X658" s="343"/>
      <c r="Y658" s="367" t="str">
        <f t="shared" ca="1" si="312"/>
        <v/>
      </c>
      <c r="Z658" s="368" t="str">
        <f t="shared" ca="1" si="313"/>
        <v/>
      </c>
      <c r="AA658" s="369" t="str">
        <f t="shared" ca="1" si="314"/>
        <v/>
      </c>
      <c r="AB658" s="344"/>
      <c r="AC658" s="363" t="e">
        <f t="shared" ca="1" si="315"/>
        <v>#N/A</v>
      </c>
      <c r="AD658" s="376" t="e">
        <f t="shared" ca="1" si="316"/>
        <v>#N/A</v>
      </c>
      <c r="AE658" s="377" t="e">
        <f t="shared" ca="1" si="295"/>
        <v>#N/A</v>
      </c>
      <c r="AF658" s="344"/>
      <c r="AG658" s="359">
        <f t="shared" ca="1" si="317"/>
        <v>6.2116882836519833</v>
      </c>
      <c r="AH658" s="357">
        <f t="shared" ca="1" si="318"/>
        <v>-3.349078366122197</v>
      </c>
    </row>
    <row r="659" spans="1:34" x14ac:dyDescent="0.25">
      <c r="A659" s="402">
        <f t="shared" ca="1" si="296"/>
        <v>0.1</v>
      </c>
      <c r="B659" s="357">
        <f t="shared" ca="1" si="297"/>
        <v>29.500000000000107</v>
      </c>
      <c r="C659" s="342"/>
      <c r="D659" s="359">
        <f t="shared" ca="1" si="298"/>
        <v>-0.75291624058246454</v>
      </c>
      <c r="E659" s="360">
        <f t="shared" ca="1" si="299"/>
        <v>-6.50269196853555</v>
      </c>
      <c r="F659" s="357">
        <f t="shared" ca="1" si="300"/>
        <v>6.5461351729848642</v>
      </c>
      <c r="G659" s="359">
        <f t="shared" ca="1" si="301"/>
        <v>23.624988716388735</v>
      </c>
      <c r="H659" s="360">
        <f t="shared" ca="1" si="302"/>
        <v>-104.7576363819211</v>
      </c>
      <c r="I659" s="357">
        <f t="shared" ca="1" si="303"/>
        <v>107.388558385781</v>
      </c>
      <c r="J659" s="359">
        <f t="shared" ca="1" si="304"/>
        <v>879.70138730599115</v>
      </c>
      <c r="K659" s="360">
        <f t="shared" ca="1" si="305"/>
        <v>732.01412250653902</v>
      </c>
      <c r="L659" s="357">
        <f t="shared" ca="1" si="290"/>
        <v>1144.42964238834</v>
      </c>
      <c r="M659" s="359">
        <f t="shared" ca="1" si="306"/>
        <v>-1.3489865731737685</v>
      </c>
      <c r="N659" s="357">
        <f t="shared" ca="1" si="307"/>
        <v>-77.291237262672738</v>
      </c>
      <c r="O659" s="343"/>
      <c r="P659" s="363">
        <f t="shared" ca="1" si="308"/>
        <v>23</v>
      </c>
      <c r="Q659" s="357">
        <f t="shared" ca="1" si="309"/>
        <v>0</v>
      </c>
      <c r="R659" s="359">
        <f t="shared" ca="1" si="310"/>
        <v>0</v>
      </c>
      <c r="S659" s="360">
        <f t="shared" ca="1" si="311"/>
        <v>8.6519999999999992</v>
      </c>
      <c r="T659" s="357">
        <f t="shared" ca="1" si="291"/>
        <v>84.87612</v>
      </c>
      <c r="U659" s="364">
        <f t="shared" ca="1" si="292"/>
        <v>0</v>
      </c>
      <c r="V659" s="359">
        <f t="shared" ca="1" si="293"/>
        <v>1.1384944347643446</v>
      </c>
      <c r="W659" s="357">
        <f t="shared" ca="1" si="294"/>
        <v>29.718477370814174</v>
      </c>
      <c r="X659" s="343"/>
      <c r="Y659" s="367" t="str">
        <f t="shared" ca="1" si="312"/>
        <v/>
      </c>
      <c r="Z659" s="368" t="str">
        <f t="shared" ca="1" si="313"/>
        <v/>
      </c>
      <c r="AA659" s="369" t="str">
        <f t="shared" ca="1" si="314"/>
        <v/>
      </c>
      <c r="AB659" s="344"/>
      <c r="AC659" s="363" t="e">
        <f t="shared" ca="1" si="315"/>
        <v>#N/A</v>
      </c>
      <c r="AD659" s="376" t="e">
        <f t="shared" ca="1" si="316"/>
        <v>#N/A</v>
      </c>
      <c r="AE659" s="377" t="e">
        <f t="shared" ca="1" si="295"/>
        <v>#N/A</v>
      </c>
      <c r="AF659" s="344"/>
      <c r="AG659" s="359">
        <f t="shared" ca="1" si="317"/>
        <v>6.1733410085116613</v>
      </c>
      <c r="AH659" s="357">
        <f t="shared" ca="1" si="318"/>
        <v>-3.3919270747352588</v>
      </c>
    </row>
    <row r="660" spans="1:34" x14ac:dyDescent="0.25">
      <c r="A660" s="402">
        <f t="shared" ca="1" si="296"/>
        <v>0.1</v>
      </c>
      <c r="B660" s="357">
        <f t="shared" ca="1" si="297"/>
        <v>29.600000000000108</v>
      </c>
      <c r="C660" s="342"/>
      <c r="D660" s="359">
        <f t="shared" ca="1" si="298"/>
        <v>-0.75565514072254825</v>
      </c>
      <c r="E660" s="360">
        <f t="shared" ca="1" si="299"/>
        <v>-6.4592832054972318</v>
      </c>
      <c r="F660" s="357">
        <f t="shared" ca="1" si="300"/>
        <v>6.503334084953579</v>
      </c>
      <c r="G660" s="359">
        <f t="shared" ca="1" si="301"/>
        <v>23.549423202316479</v>
      </c>
      <c r="H660" s="360">
        <f t="shared" ca="1" si="302"/>
        <v>-105.40356470247083</v>
      </c>
      <c r="I660" s="357">
        <f t="shared" ca="1" si="303"/>
        <v>108.00225361143978</v>
      </c>
      <c r="J660" s="359">
        <f t="shared" ca="1" si="304"/>
        <v>882.06010790192636</v>
      </c>
      <c r="K660" s="360">
        <f t="shared" ca="1" si="305"/>
        <v>721.50606245231938</v>
      </c>
      <c r="L660" s="357">
        <f t="shared" ca="1" si="290"/>
        <v>1139.5617719577153</v>
      </c>
      <c r="M660" s="359">
        <f t="shared" ca="1" si="306"/>
        <v>-1.3509848243446458</v>
      </c>
      <c r="N660" s="357">
        <f t="shared" ca="1" si="307"/>
        <v>-77.405728621171079</v>
      </c>
      <c r="O660" s="343"/>
      <c r="P660" s="363">
        <f t="shared" ca="1" si="308"/>
        <v>23</v>
      </c>
      <c r="Q660" s="357">
        <f t="shared" ca="1" si="309"/>
        <v>0</v>
      </c>
      <c r="R660" s="359">
        <f t="shared" ca="1" si="310"/>
        <v>0</v>
      </c>
      <c r="S660" s="360">
        <f t="shared" ca="1" si="311"/>
        <v>8.6519999999999992</v>
      </c>
      <c r="T660" s="357">
        <f t="shared" ca="1" si="291"/>
        <v>84.87612</v>
      </c>
      <c r="U660" s="364">
        <f t="shared" ca="1" si="292"/>
        <v>0</v>
      </c>
      <c r="V660" s="359">
        <f t="shared" ca="1" si="293"/>
        <v>1.139692983816883</v>
      </c>
      <c r="W660" s="357">
        <f t="shared" ca="1" si="294"/>
        <v>30.090758001362836</v>
      </c>
      <c r="X660" s="343"/>
      <c r="Y660" s="367" t="str">
        <f t="shared" ca="1" si="312"/>
        <v/>
      </c>
      <c r="Z660" s="368" t="str">
        <f t="shared" ca="1" si="313"/>
        <v/>
      </c>
      <c r="AA660" s="369" t="str">
        <f t="shared" ca="1" si="314"/>
        <v/>
      </c>
      <c r="AB660" s="344"/>
      <c r="AC660" s="363" t="e">
        <f t="shared" ca="1" si="315"/>
        <v>#N/A</v>
      </c>
      <c r="AD660" s="376" t="e">
        <f t="shared" ca="1" si="316"/>
        <v>#N/A</v>
      </c>
      <c r="AE660" s="377" t="e">
        <f t="shared" ca="1" si="295"/>
        <v>#N/A</v>
      </c>
      <c r="AF660" s="344"/>
      <c r="AG660" s="359">
        <f t="shared" ca="1" si="317"/>
        <v>6.1347959881311542</v>
      </c>
      <c r="AH660" s="357">
        <f t="shared" ca="1" si="318"/>
        <v>-3.4348679346757023</v>
      </c>
    </row>
    <row r="661" spans="1:34" x14ac:dyDescent="0.25">
      <c r="A661" s="402">
        <f t="shared" ca="1" si="296"/>
        <v>0.1</v>
      </c>
      <c r="B661" s="357">
        <f t="shared" ca="1" si="297"/>
        <v>29.700000000000109</v>
      </c>
      <c r="C661" s="342"/>
      <c r="D661" s="359">
        <f t="shared" ca="1" si="298"/>
        <v>-0.75834019146594822</v>
      </c>
      <c r="E661" s="360">
        <f t="shared" ca="1" si="299"/>
        <v>-6.4157869549092599</v>
      </c>
      <c r="F661" s="357">
        <f t="shared" ca="1" si="300"/>
        <v>6.4604490630896896</v>
      </c>
      <c r="G661" s="359">
        <f t="shared" ca="1" si="301"/>
        <v>23.473589183169885</v>
      </c>
      <c r="H661" s="360">
        <f t="shared" ca="1" si="302"/>
        <v>-106.04514339796175</v>
      </c>
      <c r="I661" s="357">
        <f t="shared" ca="1" si="303"/>
        <v>108.6120703579234</v>
      </c>
      <c r="J661" s="359">
        <f t="shared" ca="1" si="304"/>
        <v>884.41125852120069</v>
      </c>
      <c r="K661" s="360">
        <f t="shared" ca="1" si="305"/>
        <v>710.9336270472977</v>
      </c>
      <c r="L661" s="357">
        <f t="shared" ca="1" si="290"/>
        <v>1134.7289968383113</v>
      </c>
      <c r="M661" s="359">
        <f t="shared" ca="1" si="306"/>
        <v>-1.3529542457437882</v>
      </c>
      <c r="N661" s="357">
        <f t="shared" ca="1" si="307"/>
        <v>-77.518568155424688</v>
      </c>
      <c r="O661" s="343"/>
      <c r="P661" s="363">
        <f t="shared" ca="1" si="308"/>
        <v>23</v>
      </c>
      <c r="Q661" s="357">
        <f t="shared" ca="1" si="309"/>
        <v>0</v>
      </c>
      <c r="R661" s="359">
        <f t="shared" ca="1" si="310"/>
        <v>0</v>
      </c>
      <c r="S661" s="360">
        <f t="shared" ca="1" si="311"/>
        <v>8.6519999999999992</v>
      </c>
      <c r="T661" s="357">
        <f t="shared" ca="1" si="291"/>
        <v>84.87612</v>
      </c>
      <c r="U661" s="364">
        <f t="shared" ca="1" si="292"/>
        <v>0</v>
      </c>
      <c r="V661" s="359">
        <f t="shared" ca="1" si="293"/>
        <v>1.1409001029296328</v>
      </c>
      <c r="W661" s="357">
        <f t="shared" ca="1" si="294"/>
        <v>30.463754140940289</v>
      </c>
      <c r="X661" s="343"/>
      <c r="Y661" s="367" t="str">
        <f t="shared" ca="1" si="312"/>
        <v/>
      </c>
      <c r="Z661" s="368" t="str">
        <f t="shared" ca="1" si="313"/>
        <v/>
      </c>
      <c r="AA661" s="369" t="str">
        <f t="shared" ca="1" si="314"/>
        <v/>
      </c>
      <c r="AB661" s="344"/>
      <c r="AC661" s="363" t="e">
        <f t="shared" ca="1" si="315"/>
        <v>#N/A</v>
      </c>
      <c r="AD661" s="376" t="e">
        <f t="shared" ca="1" si="316"/>
        <v>#N/A</v>
      </c>
      <c r="AE661" s="377" t="e">
        <f t="shared" ca="1" si="295"/>
        <v>#N/A</v>
      </c>
      <c r="AF661" s="344"/>
      <c r="AG661" s="359">
        <f t="shared" ca="1" si="317"/>
        <v>6.0960611404237568</v>
      </c>
      <c r="AH661" s="357">
        <f t="shared" ca="1" si="318"/>
        <v>-3.4778962091265417</v>
      </c>
    </row>
    <row r="662" spans="1:34" x14ac:dyDescent="0.25">
      <c r="A662" s="402">
        <f t="shared" ca="1" si="296"/>
        <v>0.1</v>
      </c>
      <c r="B662" s="357">
        <f t="shared" ca="1" si="297"/>
        <v>29.800000000000111</v>
      </c>
      <c r="C662" s="342"/>
      <c r="D662" s="359">
        <f t="shared" ca="1" si="298"/>
        <v>-0.76097137118429836</v>
      </c>
      <c r="E662" s="360">
        <f t="shared" ca="1" si="299"/>
        <v>-6.372207954255205</v>
      </c>
      <c r="F662" s="357">
        <f t="shared" ca="1" si="300"/>
        <v>6.417484837538411</v>
      </c>
      <c r="G662" s="359">
        <f t="shared" ca="1" si="301"/>
        <v>23.397492046051454</v>
      </c>
      <c r="H662" s="360">
        <f t="shared" ca="1" si="302"/>
        <v>-106.68236419338727</v>
      </c>
      <c r="I662" s="357">
        <f t="shared" ca="1" si="303"/>
        <v>109.21799056902465</v>
      </c>
      <c r="J662" s="359">
        <f t="shared" ca="1" si="304"/>
        <v>886.75481258266177</v>
      </c>
      <c r="K662" s="360">
        <f t="shared" ca="1" si="305"/>
        <v>700.29725166773028</v>
      </c>
      <c r="L662" s="357">
        <f t="shared" ca="1" si="290"/>
        <v>1129.9337760824251</v>
      </c>
      <c r="M662" s="359">
        <f t="shared" ca="1" si="306"/>
        <v>-1.3548954735588719</v>
      </c>
      <c r="N662" s="357">
        <f t="shared" ca="1" si="307"/>
        <v>-77.629792316302385</v>
      </c>
      <c r="O662" s="343"/>
      <c r="P662" s="363">
        <f t="shared" ca="1" si="308"/>
        <v>23</v>
      </c>
      <c r="Q662" s="357">
        <f t="shared" ca="1" si="309"/>
        <v>0</v>
      </c>
      <c r="R662" s="359">
        <f t="shared" ca="1" si="310"/>
        <v>0</v>
      </c>
      <c r="S662" s="360">
        <f t="shared" ca="1" si="311"/>
        <v>8.6519999999999992</v>
      </c>
      <c r="T662" s="357">
        <f t="shared" ca="1" si="291"/>
        <v>84.87612</v>
      </c>
      <c r="U662" s="364">
        <f t="shared" ca="1" si="292"/>
        <v>0</v>
      </c>
      <c r="V662" s="359">
        <f t="shared" ca="1" si="293"/>
        <v>1.1421157667096928</v>
      </c>
      <c r="W662" s="357">
        <f t="shared" ca="1" si="294"/>
        <v>30.837425177067594</v>
      </c>
      <c r="X662" s="343"/>
      <c r="Y662" s="367" t="str">
        <f t="shared" ca="1" si="312"/>
        <v/>
      </c>
      <c r="Z662" s="368" t="str">
        <f t="shared" ca="1" si="313"/>
        <v/>
      </c>
      <c r="AA662" s="369" t="str">
        <f t="shared" ca="1" si="314"/>
        <v/>
      </c>
      <c r="AB662" s="344"/>
      <c r="AC662" s="363" t="e">
        <f t="shared" ca="1" si="315"/>
        <v>#N/A</v>
      </c>
      <c r="AD662" s="376" t="e">
        <f t="shared" ca="1" si="316"/>
        <v>#N/A</v>
      </c>
      <c r="AE662" s="377" t="e">
        <f t="shared" ca="1" si="295"/>
        <v>#N/A</v>
      </c>
      <c r="AF662" s="344"/>
      <c r="AG662" s="359">
        <f t="shared" ca="1" si="317"/>
        <v>6.0571442451589252</v>
      </c>
      <c r="AH662" s="357">
        <f t="shared" ca="1" si="318"/>
        <v>-3.5210071822630944</v>
      </c>
    </row>
    <row r="663" spans="1:34" x14ac:dyDescent="0.25">
      <c r="A663" s="402">
        <f t="shared" ca="1" si="296"/>
        <v>0.1</v>
      </c>
      <c r="B663" s="357">
        <f t="shared" ca="1" si="297"/>
        <v>29.900000000000112</v>
      </c>
      <c r="C663" s="342"/>
      <c r="D663" s="359">
        <f t="shared" ca="1" si="298"/>
        <v>-0.76354866878351146</v>
      </c>
      <c r="E663" s="360">
        <f t="shared" ca="1" si="299"/>
        <v>-6.3285509198074408</v>
      </c>
      <c r="F663" s="357">
        <f t="shared" ca="1" si="300"/>
        <v>6.3744461182283656</v>
      </c>
      <c r="G663" s="359">
        <f t="shared" ca="1" si="301"/>
        <v>23.321137179173103</v>
      </c>
      <c r="H663" s="360">
        <f t="shared" ca="1" si="302"/>
        <v>-107.31521928536802</v>
      </c>
      <c r="I663" s="357">
        <f t="shared" ca="1" si="303"/>
        <v>109.81999694771638</v>
      </c>
      <c r="J663" s="359">
        <f t="shared" ca="1" si="304"/>
        <v>889.090744043923</v>
      </c>
      <c r="K663" s="360">
        <f t="shared" ca="1" si="305"/>
        <v>689.59737249379248</v>
      </c>
      <c r="L663" s="357">
        <f t="shared" ca="1" si="290"/>
        <v>1125.1786023982677</v>
      </c>
      <c r="M663" s="359">
        <f t="shared" ca="1" si="306"/>
        <v>-1.3568091255934955</v>
      </c>
      <c r="N663" s="357">
        <f t="shared" ca="1" si="307"/>
        <v>-77.739436501342936</v>
      </c>
      <c r="O663" s="343"/>
      <c r="P663" s="363">
        <f t="shared" ca="1" si="308"/>
        <v>23</v>
      </c>
      <c r="Q663" s="357">
        <f t="shared" ca="1" si="309"/>
        <v>0</v>
      </c>
      <c r="R663" s="359">
        <f t="shared" ca="1" si="310"/>
        <v>0</v>
      </c>
      <c r="S663" s="360">
        <f t="shared" ca="1" si="311"/>
        <v>8.6519999999999992</v>
      </c>
      <c r="T663" s="357">
        <f t="shared" ca="1" si="291"/>
        <v>84.87612</v>
      </c>
      <c r="U663" s="364">
        <f t="shared" ca="1" si="292"/>
        <v>0</v>
      </c>
      <c r="V663" s="359">
        <f t="shared" ca="1" si="293"/>
        <v>1.1433399496765486</v>
      </c>
      <c r="W663" s="357">
        <f t="shared" ca="1" si="294"/>
        <v>31.211730693201094</v>
      </c>
      <c r="X663" s="343"/>
      <c r="Y663" s="367" t="str">
        <f t="shared" ca="1" si="312"/>
        <v/>
      </c>
      <c r="Z663" s="368" t="str">
        <f t="shared" ca="1" si="313"/>
        <v/>
      </c>
      <c r="AA663" s="369" t="str">
        <f t="shared" ca="1" si="314"/>
        <v/>
      </c>
      <c r="AB663" s="344"/>
      <c r="AC663" s="363" t="e">
        <f t="shared" ca="1" si="315"/>
        <v>#N/A</v>
      </c>
      <c r="AD663" s="376" t="e">
        <f t="shared" ca="1" si="316"/>
        <v>#N/A</v>
      </c>
      <c r="AE663" s="377" t="e">
        <f t="shared" ca="1" si="295"/>
        <v>#N/A</v>
      </c>
      <c r="AF663" s="344"/>
      <c r="AG663" s="359">
        <f t="shared" ca="1" si="317"/>
        <v>6.0180529481840637</v>
      </c>
      <c r="AH663" s="357">
        <f t="shared" ca="1" si="318"/>
        <v>-3.5641961600864076</v>
      </c>
    </row>
    <row r="664" spans="1:34" x14ac:dyDescent="0.25">
      <c r="A664" s="402">
        <f t="shared" ca="1" si="296"/>
        <v>0.1</v>
      </c>
      <c r="B664" s="357">
        <f t="shared" ca="1" si="297"/>
        <v>30.000000000000114</v>
      </c>
      <c r="C664" s="342"/>
      <c r="D664" s="359">
        <f t="shared" ca="1" si="298"/>
        <v>-0.76607208353956802</v>
      </c>
      <c r="E664" s="360">
        <f t="shared" ca="1" si="299"/>
        <v>-6.2848205457636936</v>
      </c>
      <c r="F664" s="357">
        <f t="shared" ca="1" si="300"/>
        <v>6.3313375940343057</v>
      </c>
      <c r="G664" s="359">
        <f t="shared" ca="1" si="301"/>
        <v>23.244529970819148</v>
      </c>
      <c r="H664" s="360">
        <f t="shared" ca="1" si="302"/>
        <v>-107.94370133994438</v>
      </c>
      <c r="I664" s="357">
        <f t="shared" ca="1" si="303"/>
        <v>110.41807294338831</v>
      </c>
      <c r="J664" s="359">
        <f t="shared" ca="1" si="304"/>
        <v>891.41902740142257</v>
      </c>
      <c r="K664" s="360">
        <f t="shared" ca="1" si="305"/>
        <v>678.83442646252684</v>
      </c>
      <c r="L664" s="357">
        <f t="shared" ca="1" si="290"/>
        <v>1120.4660016992957</v>
      </c>
      <c r="M664" s="359">
        <f t="shared" ca="1" si="306"/>
        <v>-1.35869580191046</v>
      </c>
      <c r="N664" s="357">
        <f t="shared" ca="1" si="307"/>
        <v>-77.847535091612286</v>
      </c>
      <c r="O664" s="343"/>
      <c r="P664" s="363">
        <f t="shared" ca="1" si="308"/>
        <v>23</v>
      </c>
      <c r="Q664" s="357">
        <f t="shared" ca="1" si="309"/>
        <v>0</v>
      </c>
      <c r="R664" s="359">
        <f t="shared" ca="1" si="310"/>
        <v>0</v>
      </c>
      <c r="S664" s="360">
        <f t="shared" ca="1" si="311"/>
        <v>8.6519999999999992</v>
      </c>
      <c r="T664" s="357">
        <f t="shared" ca="1" si="291"/>
        <v>84.87612</v>
      </c>
      <c r="U664" s="364">
        <f t="shared" ca="1" si="292"/>
        <v>0</v>
      </c>
      <c r="V664" s="359">
        <f t="shared" ca="1" si="293"/>
        <v>1.1445726262644245</v>
      </c>
      <c r="W664" s="357">
        <f t="shared" ca="1" si="294"/>
        <v>31.586630475718454</v>
      </c>
      <c r="X664" s="343"/>
      <c r="Y664" s="367" t="str">
        <f t="shared" ca="1" si="312"/>
        <v/>
      </c>
      <c r="Z664" s="368" t="str">
        <f t="shared" ca="1" si="313"/>
        <v/>
      </c>
      <c r="AA664" s="369" t="str">
        <f t="shared" ca="1" si="314"/>
        <v/>
      </c>
      <c r="AB664" s="344"/>
      <c r="AC664" s="363">
        <f t="shared" ca="1" si="315"/>
        <v>30.000000000000114</v>
      </c>
      <c r="AD664" s="376">
        <f t="shared" ca="1" si="316"/>
        <v>891.41902740142257</v>
      </c>
      <c r="AE664" s="377" t="e">
        <f t="shared" ca="1" si="295"/>
        <v>#N/A</v>
      </c>
      <c r="AF664" s="344"/>
      <c r="AG664" s="359">
        <f t="shared" ca="1" si="317"/>
        <v>5.9787947654109743</v>
      </c>
      <c r="AH664" s="357">
        <f t="shared" ca="1" si="318"/>
        <v>-3.6074584712437701</v>
      </c>
    </row>
    <row r="665" spans="1:34" x14ac:dyDescent="0.25">
      <c r="A665" s="402">
        <f t="shared" ca="1" si="296"/>
        <v>0.1</v>
      </c>
      <c r="B665" s="357">
        <f t="shared" ca="1" si="297"/>
        <v>30.100000000000115</v>
      </c>
      <c r="C665" s="342"/>
      <c r="D665" s="359">
        <f t="shared" ca="1" si="298"/>
        <v>-0.7685416249364988</v>
      </c>
      <c r="E665" s="360">
        <f t="shared" ca="1" si="299"/>
        <v>-6.2410215033985708</v>
      </c>
      <c r="F665" s="357">
        <f t="shared" ca="1" si="300"/>
        <v>6.288163931955288</v>
      </c>
      <c r="G665" s="359">
        <f t="shared" ca="1" si="301"/>
        <v>23.167675808325498</v>
      </c>
      <c r="H665" s="360">
        <f t="shared" ca="1" si="302"/>
        <v>-108.56780349028423</v>
      </c>
      <c r="I665" s="357">
        <f t="shared" ca="1" si="303"/>
        <v>111.01220273944952</v>
      </c>
      <c r="J665" s="359">
        <f t="shared" ca="1" si="304"/>
        <v>893.73963769037982</v>
      </c>
      <c r="K665" s="360">
        <f t="shared" ca="1" si="305"/>
        <v>668.00885122101545</v>
      </c>
      <c r="L665" s="357">
        <f t="shared" ca="1" si="290"/>
        <v>1115.798532571428</v>
      </c>
      <c r="M665" s="359">
        <f t="shared" ca="1" si="306"/>
        <v>-1.3605560854488836</v>
      </c>
      <c r="N665" s="357">
        <f t="shared" ca="1" si="307"/>
        <v>-77.954121487061627</v>
      </c>
      <c r="O665" s="343"/>
      <c r="P665" s="363">
        <f t="shared" ca="1" si="308"/>
        <v>23</v>
      </c>
      <c r="Q665" s="357">
        <f t="shared" ca="1" si="309"/>
        <v>0</v>
      </c>
      <c r="R665" s="359">
        <f t="shared" ca="1" si="310"/>
        <v>0</v>
      </c>
      <c r="S665" s="360">
        <f t="shared" ca="1" si="311"/>
        <v>8.6519999999999992</v>
      </c>
      <c r="T665" s="357">
        <f t="shared" ca="1" si="291"/>
        <v>84.87612</v>
      </c>
      <c r="U665" s="364">
        <f t="shared" ca="1" si="292"/>
        <v>0</v>
      </c>
      <c r="V665" s="359">
        <f t="shared" ca="1" si="293"/>
        <v>1.1458137708246239</v>
      </c>
      <c r="W665" s="357">
        <f t="shared" ca="1" si="294"/>
        <v>31.962084520789883</v>
      </c>
      <c r="X665" s="343"/>
      <c r="Y665" s="367" t="str">
        <f t="shared" ca="1" si="312"/>
        <v/>
      </c>
      <c r="Z665" s="368" t="str">
        <f t="shared" ca="1" si="313"/>
        <v/>
      </c>
      <c r="AA665" s="369" t="str">
        <f t="shared" ca="1" si="314"/>
        <v/>
      </c>
      <c r="AB665" s="344"/>
      <c r="AC665" s="363" t="e">
        <f t="shared" ca="1" si="315"/>
        <v>#N/A</v>
      </c>
      <c r="AD665" s="376" t="e">
        <f t="shared" ca="1" si="316"/>
        <v>#N/A</v>
      </c>
      <c r="AE665" s="377" t="e">
        <f t="shared" ca="1" si="295"/>
        <v>#N/A</v>
      </c>
      <c r="AF665" s="344"/>
      <c r="AG665" s="359">
        <f t="shared" ca="1" si="317"/>
        <v>5.939377086580798</v>
      </c>
      <c r="AH665" s="357">
        <f t="shared" ca="1" si="318"/>
        <v>-3.6507894678361601</v>
      </c>
    </row>
    <row r="666" spans="1:34" x14ac:dyDescent="0.25">
      <c r="A666" s="402">
        <f t="shared" ca="1" si="296"/>
        <v>0.1</v>
      </c>
      <c r="B666" s="357">
        <f t="shared" ca="1" si="297"/>
        <v>30.200000000000117</v>
      </c>
      <c r="C666" s="342"/>
      <c r="D666" s="359">
        <f t="shared" ca="1" si="298"/>
        <v>-0.77095731250640342</v>
      </c>
      <c r="E666" s="360">
        <f t="shared" ca="1" si="299"/>
        <v>-6.1971584402301545</v>
      </c>
      <c r="F666" s="357">
        <f t="shared" ca="1" si="300"/>
        <v>6.2449297763083722</v>
      </c>
      <c r="G666" s="359">
        <f t="shared" ca="1" si="301"/>
        <v>23.090580077074858</v>
      </c>
      <c r="H666" s="360">
        <f t="shared" ca="1" si="302"/>
        <v>-109.18751933430725</v>
      </c>
      <c r="I666" s="357">
        <f t="shared" ca="1" si="303"/>
        <v>111.60237124127573</v>
      </c>
      <c r="J666" s="359">
        <f t="shared" ca="1" si="304"/>
        <v>896.05255048464983</v>
      </c>
      <c r="K666" s="360">
        <f t="shared" ca="1" si="305"/>
        <v>657.12108507978587</v>
      </c>
      <c r="L666" s="357">
        <f t="shared" ca="1" si="290"/>
        <v>1111.1787856535425</v>
      </c>
      <c r="M666" s="359">
        <f t="shared" ca="1" si="306"/>
        <v>-1.3623905426163536</v>
      </c>
      <c r="N666" s="357">
        <f t="shared" ca="1" si="307"/>
        <v>-78.05922814045519</v>
      </c>
      <c r="O666" s="343"/>
      <c r="P666" s="363">
        <f t="shared" ca="1" si="308"/>
        <v>23</v>
      </c>
      <c r="Q666" s="357">
        <f t="shared" ca="1" si="309"/>
        <v>0</v>
      </c>
      <c r="R666" s="359">
        <f t="shared" ca="1" si="310"/>
        <v>0</v>
      </c>
      <c r="S666" s="360">
        <f t="shared" ca="1" si="311"/>
        <v>8.6519999999999992</v>
      </c>
      <c r="T666" s="357">
        <f t="shared" ca="1" si="291"/>
        <v>84.87612</v>
      </c>
      <c r="U666" s="364">
        <f t="shared" ca="1" si="292"/>
        <v>0</v>
      </c>
      <c r="V666" s="359">
        <f t="shared" ca="1" si="293"/>
        <v>1.1470633576278784</v>
      </c>
      <c r="W666" s="357">
        <f t="shared" ca="1" si="294"/>
        <v>32.338053041133136</v>
      </c>
      <c r="X666" s="343"/>
      <c r="Y666" s="367" t="str">
        <f t="shared" ca="1" si="312"/>
        <v/>
      </c>
      <c r="Z666" s="368" t="str">
        <f t="shared" ca="1" si="313"/>
        <v/>
      </c>
      <c r="AA666" s="369" t="str">
        <f t="shared" ca="1" si="314"/>
        <v/>
      </c>
      <c r="AB666" s="344"/>
      <c r="AC666" s="363" t="e">
        <f t="shared" ca="1" si="315"/>
        <v>#N/A</v>
      </c>
      <c r="AD666" s="376" t="e">
        <f t="shared" ca="1" si="316"/>
        <v>#N/A</v>
      </c>
      <c r="AE666" s="377" t="e">
        <f t="shared" ca="1" si="295"/>
        <v>#N/A</v>
      </c>
      <c r="AF666" s="344"/>
      <c r="AG666" s="359">
        <f t="shared" ca="1" si="317"/>
        <v>5.8998071788202893</v>
      </c>
      <c r="AH666" s="357">
        <f t="shared" ca="1" si="318"/>
        <v>-3.6941845262124233</v>
      </c>
    </row>
    <row r="667" spans="1:34" x14ac:dyDescent="0.25">
      <c r="A667" s="402">
        <f t="shared" ca="1" si="296"/>
        <v>0.1</v>
      </c>
      <c r="B667" s="357">
        <f t="shared" ca="1" si="297"/>
        <v>30.300000000000118</v>
      </c>
      <c r="C667" s="342"/>
      <c r="D667" s="359">
        <f t="shared" ca="1" si="298"/>
        <v>-0.77331917567136976</v>
      </c>
      <c r="E667" s="360">
        <f t="shared" ca="1" si="299"/>
        <v>-6.1532359792017477</v>
      </c>
      <c r="F667" s="357">
        <f t="shared" ca="1" si="300"/>
        <v>6.2016397479379552</v>
      </c>
      <c r="G667" s="359">
        <f t="shared" ca="1" si="301"/>
        <v>23.013248159507722</v>
      </c>
      <c r="H667" s="360">
        <f t="shared" ca="1" si="302"/>
        <v>-109.80284293222743</v>
      </c>
      <c r="I667" s="357">
        <f t="shared" ca="1" si="303"/>
        <v>112.18856406448251</v>
      </c>
      <c r="J667" s="359">
        <f t="shared" ca="1" si="304"/>
        <v>898.35774189647896</v>
      </c>
      <c r="K667" s="360">
        <f t="shared" ca="1" si="305"/>
        <v>646.17156696645918</v>
      </c>
      <c r="L667" s="357">
        <f t="shared" ca="1" si="290"/>
        <v>1106.6093829266179</v>
      </c>
      <c r="M667" s="359">
        <f t="shared" ca="1" si="306"/>
        <v>-1.3641997238572479</v>
      </c>
      <c r="N667" s="357">
        <f t="shared" ca="1" si="307"/>
        <v>-78.162886589932668</v>
      </c>
      <c r="O667" s="343"/>
      <c r="P667" s="363">
        <f t="shared" ca="1" si="308"/>
        <v>23</v>
      </c>
      <c r="Q667" s="357">
        <f t="shared" ca="1" si="309"/>
        <v>0</v>
      </c>
      <c r="R667" s="359">
        <f t="shared" ca="1" si="310"/>
        <v>0</v>
      </c>
      <c r="S667" s="360">
        <f t="shared" ca="1" si="311"/>
        <v>8.6519999999999992</v>
      </c>
      <c r="T667" s="357">
        <f t="shared" ca="1" si="291"/>
        <v>84.87612</v>
      </c>
      <c r="U667" s="364">
        <f t="shared" ca="1" si="292"/>
        <v>0</v>
      </c>
      <c r="V667" s="359">
        <f t="shared" ca="1" si="293"/>
        <v>1.1483213608666902</v>
      </c>
      <c r="W667" s="357">
        <f t="shared" ca="1" si="294"/>
        <v>32.71449647265073</v>
      </c>
      <c r="X667" s="343"/>
      <c r="Y667" s="367" t="str">
        <f t="shared" ca="1" si="312"/>
        <v/>
      </c>
      <c r="Z667" s="368" t="str">
        <f t="shared" ca="1" si="313"/>
        <v/>
      </c>
      <c r="AA667" s="369" t="str">
        <f t="shared" ca="1" si="314"/>
        <v/>
      </c>
      <c r="AB667" s="344"/>
      <c r="AC667" s="363" t="e">
        <f t="shared" ca="1" si="315"/>
        <v>#N/A</v>
      </c>
      <c r="AD667" s="376" t="e">
        <f t="shared" ca="1" si="316"/>
        <v>#N/A</v>
      </c>
      <c r="AE667" s="377" t="e">
        <f t="shared" ca="1" si="295"/>
        <v>#N/A</v>
      </c>
      <c r="AF667" s="344"/>
      <c r="AG667" s="359">
        <f t="shared" ca="1" si="317"/>
        <v>5.8600921900016862</v>
      </c>
      <c r="AH667" s="357">
        <f t="shared" ca="1" si="318"/>
        <v>-3.7376390477500161</v>
      </c>
    </row>
    <row r="668" spans="1:34" x14ac:dyDescent="0.25">
      <c r="A668" s="402">
        <f t="shared" ca="1" si="296"/>
        <v>0.1</v>
      </c>
      <c r="B668" s="357">
        <f t="shared" ca="1" si="297"/>
        <v>30.400000000000119</v>
      </c>
      <c r="C668" s="342"/>
      <c r="D668" s="359">
        <f t="shared" ca="1" si="298"/>
        <v>-0.77562725358718576</v>
      </c>
      <c r="E668" s="360">
        <f t="shared" ca="1" si="299"/>
        <v>-6.1092587178788555</v>
      </c>
      <c r="F668" s="357">
        <f t="shared" ca="1" si="300"/>
        <v>6.1582984434408505</v>
      </c>
      <c r="G668" s="359">
        <f t="shared" ca="1" si="301"/>
        <v>22.935685434149004</v>
      </c>
      <c r="H668" s="360">
        <f t="shared" ca="1" si="302"/>
        <v>-110.41376880401532</v>
      </c>
      <c r="I668" s="357">
        <f t="shared" ca="1" si="303"/>
        <v>112.77076752350665</v>
      </c>
      <c r="J668" s="359">
        <f t="shared" ca="1" si="304"/>
        <v>900.65518857616178</v>
      </c>
      <c r="K668" s="360">
        <f t="shared" ca="1" si="305"/>
        <v>635.16073637964701</v>
      </c>
      <c r="L668" s="357">
        <f t="shared" ca="1" si="290"/>
        <v>1102.0929769068928</v>
      </c>
      <c r="M668" s="359">
        <f t="shared" ca="1" si="306"/>
        <v>-1.3659841641983153</v>
      </c>
      <c r="N668" s="357">
        <f t="shared" ca="1" si="307"/>
        <v>-78.265127490268711</v>
      </c>
      <c r="O668" s="343"/>
      <c r="P668" s="363">
        <f t="shared" ca="1" si="308"/>
        <v>23</v>
      </c>
      <c r="Q668" s="357">
        <f t="shared" ca="1" si="309"/>
        <v>0</v>
      </c>
      <c r="R668" s="359">
        <f t="shared" ca="1" si="310"/>
        <v>0</v>
      </c>
      <c r="S668" s="360">
        <f t="shared" ca="1" si="311"/>
        <v>8.6519999999999992</v>
      </c>
      <c r="T668" s="357">
        <f t="shared" ca="1" si="291"/>
        <v>84.87612</v>
      </c>
      <c r="U668" s="364">
        <f t="shared" ca="1" si="292"/>
        <v>0</v>
      </c>
      <c r="V668" s="359">
        <f t="shared" ca="1" si="293"/>
        <v>1.1495877546576769</v>
      </c>
      <c r="W668" s="357">
        <f t="shared" ca="1" si="294"/>
        <v>33.091375480948045</v>
      </c>
      <c r="X668" s="343"/>
      <c r="Y668" s="367" t="str">
        <f t="shared" ca="1" si="312"/>
        <v/>
      </c>
      <c r="Z668" s="368" t="str">
        <f t="shared" ca="1" si="313"/>
        <v/>
      </c>
      <c r="AA668" s="369" t="str">
        <f t="shared" ca="1" si="314"/>
        <v/>
      </c>
      <c r="AB668" s="344"/>
      <c r="AC668" s="363" t="e">
        <f t="shared" ca="1" si="315"/>
        <v>#N/A</v>
      </c>
      <c r="AD668" s="376" t="e">
        <f t="shared" ca="1" si="316"/>
        <v>#N/A</v>
      </c>
      <c r="AE668" s="377" t="e">
        <f t="shared" ca="1" si="295"/>
        <v>#N/A</v>
      </c>
      <c r="AF668" s="344"/>
      <c r="AG668" s="359">
        <f t="shared" ca="1" si="317"/>
        <v>5.8202391519175709</v>
      </c>
      <c r="AH668" s="357">
        <f t="shared" ca="1" si="318"/>
        <v>-3.7811484596221372</v>
      </c>
    </row>
    <row r="669" spans="1:34" x14ac:dyDescent="0.25">
      <c r="A669" s="402">
        <f t="shared" ca="1" si="296"/>
        <v>0.1</v>
      </c>
      <c r="B669" s="357">
        <f t="shared" ca="1" si="297"/>
        <v>30.500000000000121</v>
      </c>
      <c r="C669" s="342"/>
      <c r="D669" s="359">
        <f t="shared" ca="1" si="298"/>
        <v>-0.77788159498869969</v>
      </c>
      <c r="E669" s="360">
        <f t="shared" ca="1" si="299"/>
        <v>-6.0652312276614664</v>
      </c>
      <c r="F669" s="357">
        <f t="shared" ca="1" si="300"/>
        <v>6.1149104344071947</v>
      </c>
      <c r="G669" s="359">
        <f t="shared" ca="1" si="301"/>
        <v>22.857897274650135</v>
      </c>
      <c r="H669" s="360">
        <f t="shared" ca="1" si="302"/>
        <v>-111.02029192678147</v>
      </c>
      <c r="I669" s="357">
        <f t="shared" ca="1" si="303"/>
        <v>113.34896862047857</v>
      </c>
      <c r="J669" s="359">
        <f t="shared" ca="1" si="304"/>
        <v>902.94486771160177</v>
      </c>
      <c r="K669" s="360">
        <f t="shared" ca="1" si="305"/>
        <v>624.08903334310719</v>
      </c>
      <c r="L669" s="357">
        <f t="shared" ca="1" si="290"/>
        <v>1097.632249738434</v>
      </c>
      <c r="M669" s="359">
        <f t="shared" ca="1" si="306"/>
        <v>-1.3677443837725356</v>
      </c>
      <c r="N669" s="357">
        <f t="shared" ca="1" si="307"/>
        <v>-78.365980642887848</v>
      </c>
      <c r="O669" s="343"/>
      <c r="P669" s="363">
        <f t="shared" ca="1" si="308"/>
        <v>23</v>
      </c>
      <c r="Q669" s="357">
        <f t="shared" ca="1" si="309"/>
        <v>0</v>
      </c>
      <c r="R669" s="359">
        <f t="shared" ca="1" si="310"/>
        <v>0</v>
      </c>
      <c r="S669" s="360">
        <f t="shared" ca="1" si="311"/>
        <v>8.6519999999999992</v>
      </c>
      <c r="T669" s="357">
        <f t="shared" ca="1" si="291"/>
        <v>84.87612</v>
      </c>
      <c r="U669" s="364">
        <f t="shared" ca="1" si="292"/>
        <v>0</v>
      </c>
      <c r="V669" s="359">
        <f t="shared" ca="1" si="293"/>
        <v>1.1508625130439147</v>
      </c>
      <c r="W669" s="357">
        <f t="shared" ca="1" si="294"/>
        <v>33.468650967731229</v>
      </c>
      <c r="X669" s="343"/>
      <c r="Y669" s="367" t="str">
        <f t="shared" ca="1" si="312"/>
        <v/>
      </c>
      <c r="Z669" s="368" t="str">
        <f t="shared" ca="1" si="313"/>
        <v/>
      </c>
      <c r="AA669" s="369" t="str">
        <f t="shared" ca="1" si="314"/>
        <v/>
      </c>
      <c r="AB669" s="344"/>
      <c r="AC669" s="363" t="e">
        <f t="shared" ca="1" si="315"/>
        <v>#N/A</v>
      </c>
      <c r="AD669" s="376" t="e">
        <f t="shared" ca="1" si="316"/>
        <v>#N/A</v>
      </c>
      <c r="AE669" s="377" t="e">
        <f t="shared" ca="1" si="295"/>
        <v>#N/A</v>
      </c>
      <c r="AF669" s="344"/>
      <c r="AG669" s="359">
        <f t="shared" ca="1" si="317"/>
        <v>5.7802549832815311</v>
      </c>
      <c r="AH669" s="357">
        <f t="shared" ca="1" si="318"/>
        <v>-3.8247082155510919</v>
      </c>
    </row>
    <row r="670" spans="1:34" x14ac:dyDescent="0.25">
      <c r="A670" s="402">
        <f t="shared" ca="1" si="296"/>
        <v>0.1</v>
      </c>
      <c r="B670" s="357">
        <f t="shared" ca="1" si="297"/>
        <v>30.600000000000122</v>
      </c>
      <c r="C670" s="342"/>
      <c r="D670" s="359">
        <f t="shared" ca="1" si="298"/>
        <v>-0.78008225803675857</v>
      </c>
      <c r="E670" s="360">
        <f t="shared" ca="1" si="299"/>
        <v>-6.0211580530117086</v>
      </c>
      <c r="F670" s="357">
        <f t="shared" ca="1" si="300"/>
        <v>6.0714802666772689</v>
      </c>
      <c r="G670" s="359">
        <f t="shared" ca="1" si="301"/>
        <v>22.77988904884646</v>
      </c>
      <c r="H670" s="360">
        <f t="shared" ca="1" si="302"/>
        <v>-111.62240773208264</v>
      </c>
      <c r="I670" s="357">
        <f t="shared" ca="1" si="303"/>
        <v>113.9231550343698</v>
      </c>
      <c r="J670" s="359">
        <f t="shared" ca="1" si="304"/>
        <v>905.22675702777656</v>
      </c>
      <c r="K670" s="360">
        <f t="shared" ca="1" si="305"/>
        <v>612.95689836016402</v>
      </c>
      <c r="L670" s="357">
        <f t="shared" ca="1" si="290"/>
        <v>1093.2299121805704</v>
      </c>
      <c r="M670" s="359">
        <f t="shared" ca="1" si="306"/>
        <v>-1.3694808883222407</v>
      </c>
      <c r="N670" s="357">
        <f t="shared" ca="1" si="307"/>
        <v>-78.465475024691216</v>
      </c>
      <c r="O670" s="343"/>
      <c r="P670" s="363">
        <f t="shared" ca="1" si="308"/>
        <v>23</v>
      </c>
      <c r="Q670" s="357">
        <f t="shared" ca="1" si="309"/>
        <v>0</v>
      </c>
      <c r="R670" s="359">
        <f t="shared" ca="1" si="310"/>
        <v>0</v>
      </c>
      <c r="S670" s="360">
        <f t="shared" ca="1" si="311"/>
        <v>8.6519999999999992</v>
      </c>
      <c r="T670" s="357">
        <f t="shared" ca="1" si="291"/>
        <v>84.87612</v>
      </c>
      <c r="U670" s="364">
        <f t="shared" ca="1" si="292"/>
        <v>0</v>
      </c>
      <c r="V670" s="359">
        <f t="shared" ca="1" si="293"/>
        <v>1.1521456099972796</v>
      </c>
      <c r="W670" s="357">
        <f t="shared" ca="1" si="294"/>
        <v>33.846284077083162</v>
      </c>
      <c r="X670" s="343"/>
      <c r="Y670" s="367" t="str">
        <f t="shared" ca="1" si="312"/>
        <v/>
      </c>
      <c r="Z670" s="368" t="str">
        <f t="shared" ca="1" si="313"/>
        <v/>
      </c>
      <c r="AA670" s="369" t="str">
        <f t="shared" ca="1" si="314"/>
        <v/>
      </c>
      <c r="AB670" s="344"/>
      <c r="AC670" s="363" t="e">
        <f t="shared" ca="1" si="315"/>
        <v>#N/A</v>
      </c>
      <c r="AD670" s="376" t="e">
        <f t="shared" ca="1" si="316"/>
        <v>#N/A</v>
      </c>
      <c r="AE670" s="377" t="e">
        <f t="shared" ca="1" si="295"/>
        <v>#N/A</v>
      </c>
      <c r="AF670" s="344"/>
      <c r="AG670" s="359">
        <f t="shared" ca="1" si="317"/>
        <v>5.7401464925647314</v>
      </c>
      <c r="AH670" s="357">
        <f t="shared" ca="1" si="318"/>
        <v>-3.8683137965477612</v>
      </c>
    </row>
    <row r="671" spans="1:34" x14ac:dyDescent="0.25">
      <c r="A671" s="402">
        <f t="shared" ca="1" si="296"/>
        <v>0.1</v>
      </c>
      <c r="B671" s="357">
        <f t="shared" ca="1" si="297"/>
        <v>30.700000000000124</v>
      </c>
      <c r="C671" s="342"/>
      <c r="D671" s="359">
        <f t="shared" ca="1" si="298"/>
        <v>-0.78222931016659236</v>
      </c>
      <c r="E671" s="360">
        <f t="shared" ca="1" si="299"/>
        <v>-5.9770437106969752</v>
      </c>
      <c r="F671" s="357">
        <f t="shared" ca="1" si="300"/>
        <v>6.0280124596143603</v>
      </c>
      <c r="G671" s="359">
        <f t="shared" ca="1" si="301"/>
        <v>22.701666117829802</v>
      </c>
      <c r="H671" s="360">
        <f t="shared" ca="1" si="302"/>
        <v>-112.22011210315233</v>
      </c>
      <c r="I671" s="357">
        <f t="shared" ca="1" si="303"/>
        <v>114.49331511040066</v>
      </c>
      <c r="J671" s="359">
        <f t="shared" ca="1" si="304"/>
        <v>907.50083478611032</v>
      </c>
      <c r="K671" s="360">
        <f t="shared" ca="1" si="305"/>
        <v>601.7647723684023</v>
      </c>
      <c r="L671" s="357">
        <f t="shared" ca="1" si="290"/>
        <v>1088.8887024857418</v>
      </c>
      <c r="M671" s="359">
        <f t="shared" ca="1" si="306"/>
        <v>-1.3711941696824206</v>
      </c>
      <c r="N671" s="357">
        <f t="shared" ca="1" si="307"/>
        <v>-78.563638815747964</v>
      </c>
      <c r="O671" s="343"/>
      <c r="P671" s="363">
        <f t="shared" ca="1" si="308"/>
        <v>23</v>
      </c>
      <c r="Q671" s="357">
        <f t="shared" ca="1" si="309"/>
        <v>0</v>
      </c>
      <c r="R671" s="359">
        <f t="shared" ca="1" si="310"/>
        <v>0</v>
      </c>
      <c r="S671" s="360">
        <f t="shared" ca="1" si="311"/>
        <v>8.6519999999999992</v>
      </c>
      <c r="T671" s="357">
        <f t="shared" ca="1" si="291"/>
        <v>84.87612</v>
      </c>
      <c r="U671" s="364">
        <f t="shared" ca="1" si="292"/>
        <v>0</v>
      </c>
      <c r="V671" s="359">
        <f t="shared" ca="1" si="293"/>
        <v>1.1534370194207837</v>
      </c>
      <c r="W671" s="357">
        <f t="shared" ca="1" si="294"/>
        <v>34.224236201616776</v>
      </c>
      <c r="X671" s="343"/>
      <c r="Y671" s="367" t="str">
        <f t="shared" ca="1" si="312"/>
        <v/>
      </c>
      <c r="Z671" s="368" t="str">
        <f t="shared" ca="1" si="313"/>
        <v/>
      </c>
      <c r="AA671" s="369" t="str">
        <f t="shared" ca="1" si="314"/>
        <v/>
      </c>
      <c r="AB671" s="344"/>
      <c r="AC671" s="363" t="e">
        <f t="shared" ca="1" si="315"/>
        <v>#N/A</v>
      </c>
      <c r="AD671" s="376" t="e">
        <f t="shared" ca="1" si="316"/>
        <v>#N/A</v>
      </c>
      <c r="AE671" s="377" t="e">
        <f t="shared" ca="1" si="295"/>
        <v>#N/A</v>
      </c>
      <c r="AF671" s="344"/>
      <c r="AG671" s="359">
        <f t="shared" ca="1" si="317"/>
        <v>5.6999203806780319</v>
      </c>
      <c r="AH671" s="357">
        <f t="shared" ca="1" si="318"/>
        <v>-3.9119607116369814</v>
      </c>
    </row>
    <row r="672" spans="1:34" x14ac:dyDescent="0.25">
      <c r="A672" s="402">
        <f t="shared" ca="1" si="296"/>
        <v>0.1</v>
      </c>
      <c r="B672" s="357">
        <f t="shared" ca="1" si="297"/>
        <v>30.800000000000125</v>
      </c>
      <c r="C672" s="342"/>
      <c r="D672" s="359">
        <f t="shared" ca="1" si="298"/>
        <v>-0.78432282793758035</v>
      </c>
      <c r="E672" s="360">
        <f t="shared" ca="1" si="299"/>
        <v>-5.9328926890485523</v>
      </c>
      <c r="F672" s="357">
        <f t="shared" ca="1" si="300"/>
        <v>5.9845115053937166</v>
      </c>
      <c r="G672" s="359">
        <f t="shared" ca="1" si="301"/>
        <v>22.623233835036043</v>
      </c>
      <c r="H672" s="360">
        <f t="shared" ca="1" si="302"/>
        <v>-112.81340137205719</v>
      </c>
      <c r="I672" s="357">
        <f t="shared" ca="1" si="303"/>
        <v>115.05943784969398</v>
      </c>
      <c r="J672" s="359">
        <f t="shared" ca="1" si="304"/>
        <v>909.76707978375362</v>
      </c>
      <c r="K672" s="360">
        <f t="shared" ca="1" si="305"/>
        <v>590.51309669464183</v>
      </c>
      <c r="L672" s="357">
        <f t="shared" ca="1" si="290"/>
        <v>1084.6113851634391</v>
      </c>
      <c r="M672" s="359">
        <f t="shared" ca="1" si="306"/>
        <v>-1.3728847062451026</v>
      </c>
      <c r="N672" s="357">
        <f t="shared" ca="1" si="307"/>
        <v>-78.660499425902188</v>
      </c>
      <c r="O672" s="343"/>
      <c r="P672" s="363">
        <f t="shared" ca="1" si="308"/>
        <v>23</v>
      </c>
      <c r="Q672" s="357">
        <f t="shared" ca="1" si="309"/>
        <v>0</v>
      </c>
      <c r="R672" s="359">
        <f t="shared" ca="1" si="310"/>
        <v>0</v>
      </c>
      <c r="S672" s="360">
        <f t="shared" ca="1" si="311"/>
        <v>8.6519999999999992</v>
      </c>
      <c r="T672" s="357">
        <f t="shared" ca="1" si="291"/>
        <v>84.87612</v>
      </c>
      <c r="U672" s="364">
        <f t="shared" ca="1" si="292"/>
        <v>0</v>
      </c>
      <c r="V672" s="359">
        <f t="shared" ca="1" si="293"/>
        <v>1.1547367151509151</v>
      </c>
      <c r="W672" s="357">
        <f t="shared" ca="1" si="294"/>
        <v>34.60246898850442</v>
      </c>
      <c r="X672" s="343"/>
      <c r="Y672" s="367" t="str">
        <f t="shared" ca="1" si="312"/>
        <v/>
      </c>
      <c r="Z672" s="368" t="str">
        <f t="shared" ca="1" si="313"/>
        <v/>
      </c>
      <c r="AA672" s="369" t="str">
        <f t="shared" ca="1" si="314"/>
        <v/>
      </c>
      <c r="AB672" s="344"/>
      <c r="AC672" s="363" t="e">
        <f t="shared" ca="1" si="315"/>
        <v>#N/A</v>
      </c>
      <c r="AD672" s="376" t="e">
        <f t="shared" ca="1" si="316"/>
        <v>#N/A</v>
      </c>
      <c r="AE672" s="377" t="e">
        <f t="shared" ca="1" si="295"/>
        <v>#N/A</v>
      </c>
      <c r="AF672" s="344"/>
      <c r="AG672" s="359">
        <f t="shared" ca="1" si="317"/>
        <v>5.6595832435085711</v>
      </c>
      <c r="AH672" s="357">
        <f t="shared" ca="1" si="318"/>
        <v>-3.9556444985687449</v>
      </c>
    </row>
    <row r="673" spans="1:34" x14ac:dyDescent="0.25">
      <c r="A673" s="402">
        <f t="shared" ca="1" si="296"/>
        <v>0.1</v>
      </c>
      <c r="B673" s="357">
        <f t="shared" ca="1" si="297"/>
        <v>30.900000000000126</v>
      </c>
      <c r="C673" s="342"/>
      <c r="D673" s="359">
        <f t="shared" ca="1" si="298"/>
        <v>-0.78636289688429384</v>
      </c>
      <c r="E673" s="360">
        <f t="shared" ca="1" si="299"/>
        <v>-5.8887094472358363</v>
      </c>
      <c r="F673" s="357">
        <f t="shared" ca="1" si="300"/>
        <v>5.9409818683076994</v>
      </c>
      <c r="G673" s="359">
        <f t="shared" ca="1" si="301"/>
        <v>22.544597545347614</v>
      </c>
      <c r="H673" s="360">
        <f t="shared" ca="1" si="302"/>
        <v>-113.40227231678077</v>
      </c>
      <c r="I673" s="357">
        <f t="shared" ca="1" si="303"/>
        <v>115.62151289916162</v>
      </c>
      <c r="J673" s="359">
        <f t="shared" ca="1" si="304"/>
        <v>912.0254713527728</v>
      </c>
      <c r="K673" s="360">
        <f t="shared" ca="1" si="305"/>
        <v>579.20231301019999</v>
      </c>
      <c r="L673" s="357">
        <f t="shared" ca="1" si="290"/>
        <v>1080.4007496260881</v>
      </c>
      <c r="M673" s="359">
        <f t="shared" ca="1" si="306"/>
        <v>-1.3745529634056364</v>
      </c>
      <c r="N673" s="357">
        <f t="shared" ca="1" si="307"/>
        <v>-78.756083520343253</v>
      </c>
      <c r="O673" s="343"/>
      <c r="P673" s="363">
        <f t="shared" ca="1" si="308"/>
        <v>23</v>
      </c>
      <c r="Q673" s="357">
        <f t="shared" ca="1" si="309"/>
        <v>0</v>
      </c>
      <c r="R673" s="359">
        <f t="shared" ca="1" si="310"/>
        <v>0</v>
      </c>
      <c r="S673" s="360">
        <f t="shared" ca="1" si="311"/>
        <v>8.6519999999999992</v>
      </c>
      <c r="T673" s="357">
        <f t="shared" ca="1" si="291"/>
        <v>84.87612</v>
      </c>
      <c r="U673" s="364">
        <f t="shared" ca="1" si="292"/>
        <v>0</v>
      </c>
      <c r="V673" s="359">
        <f t="shared" ca="1" si="293"/>
        <v>1.156044670959969</v>
      </c>
      <c r="W673" s="357">
        <f t="shared" ca="1" si="294"/>
        <v>34.980944345382298</v>
      </c>
      <c r="X673" s="343"/>
      <c r="Y673" s="367" t="str">
        <f t="shared" ca="1" si="312"/>
        <v/>
      </c>
      <c r="Z673" s="368" t="str">
        <f t="shared" ca="1" si="313"/>
        <v/>
      </c>
      <c r="AA673" s="369" t="str">
        <f t="shared" ca="1" si="314"/>
        <v/>
      </c>
      <c r="AB673" s="344"/>
      <c r="AC673" s="363" t="e">
        <f t="shared" ca="1" si="315"/>
        <v>#N/A</v>
      </c>
      <c r="AD673" s="376" t="e">
        <f t="shared" ca="1" si="316"/>
        <v>#N/A</v>
      </c>
      <c r="AE673" s="377" t="e">
        <f t="shared" ca="1" si="295"/>
        <v>#N/A</v>
      </c>
      <c r="AF673" s="344"/>
      <c r="AG673" s="359">
        <f t="shared" ca="1" si="317"/>
        <v>5.6191415743193733</v>
      </c>
      <c r="AH673" s="357">
        <f t="shared" ca="1" si="318"/>
        <v>-3.9993607245150744</v>
      </c>
    </row>
    <row r="674" spans="1:34" x14ac:dyDescent="0.25">
      <c r="A674" s="402">
        <f t="shared" ca="1" si="296"/>
        <v>0.1</v>
      </c>
      <c r="B674" s="357">
        <f t="shared" ca="1" si="297"/>
        <v>31.000000000000128</v>
      </c>
      <c r="C674" s="342"/>
      <c r="D674" s="359">
        <f t="shared" ca="1" si="298"/>
        <v>-0.78834961136876058</v>
      </c>
      <c r="E674" s="360">
        <f t="shared" ca="1" si="299"/>
        <v>-5.8444984145561936</v>
      </c>
      <c r="F674" s="357">
        <f t="shared" ca="1" si="300"/>
        <v>5.8974279840872272</v>
      </c>
      <c r="G674" s="359">
        <f t="shared" ca="1" si="301"/>
        <v>22.465762584210736</v>
      </c>
      <c r="H674" s="360">
        <f t="shared" ca="1" si="302"/>
        <v>-113.98672215823639</v>
      </c>
      <c r="I674" s="357">
        <f t="shared" ca="1" si="303"/>
        <v>116.17953054161092</v>
      </c>
      <c r="J674" s="359">
        <f t="shared" ca="1" si="304"/>
        <v>914.27598935925073</v>
      </c>
      <c r="K674" s="360">
        <f t="shared" ca="1" si="305"/>
        <v>567.83286328644908</v>
      </c>
      <c r="L674" s="357">
        <f t="shared" ca="1" si="290"/>
        <v>1076.2596087129368</v>
      </c>
      <c r="M674" s="359">
        <f t="shared" ca="1" si="306"/>
        <v>-1.3761993939916861</v>
      </c>
      <c r="N674" s="357">
        <f t="shared" ca="1" si="307"/>
        <v>-78.850417044185164</v>
      </c>
      <c r="O674" s="343"/>
      <c r="P674" s="363">
        <f t="shared" ca="1" si="308"/>
        <v>23</v>
      </c>
      <c r="Q674" s="357">
        <f t="shared" ca="1" si="309"/>
        <v>0</v>
      </c>
      <c r="R674" s="359">
        <f t="shared" ca="1" si="310"/>
        <v>0</v>
      </c>
      <c r="S674" s="360">
        <f t="shared" ca="1" si="311"/>
        <v>8.6519999999999992</v>
      </c>
      <c r="T674" s="357">
        <f t="shared" ca="1" si="291"/>
        <v>84.87612</v>
      </c>
      <c r="U674" s="364">
        <f t="shared" ca="1" si="292"/>
        <v>0</v>
      </c>
      <c r="V674" s="359">
        <f t="shared" ca="1" si="293"/>
        <v>1.1573608605583783</v>
      </c>
      <c r="W674" s="357">
        <f t="shared" ca="1" si="294"/>
        <v>35.359624446128777</v>
      </c>
      <c r="X674" s="343"/>
      <c r="Y674" s="367" t="str">
        <f t="shared" ca="1" si="312"/>
        <v/>
      </c>
      <c r="Z674" s="368" t="str">
        <f t="shared" ca="1" si="313"/>
        <v/>
      </c>
      <c r="AA674" s="369" t="str">
        <f t="shared" ca="1" si="314"/>
        <v/>
      </c>
      <c r="AB674" s="344"/>
      <c r="AC674" s="363">
        <f t="shared" ca="1" si="315"/>
        <v>31.000000000000128</v>
      </c>
      <c r="AD674" s="376">
        <f t="shared" ca="1" si="316"/>
        <v>914.27598935925073</v>
      </c>
      <c r="AE674" s="377" t="e">
        <f t="shared" ca="1" si="295"/>
        <v>#N/A</v>
      </c>
      <c r="AF674" s="344"/>
      <c r="AG674" s="359">
        <f t="shared" ca="1" si="317"/>
        <v>5.5786017660198963</v>
      </c>
      <c r="AH674" s="357">
        <f t="shared" ca="1" si="318"/>
        <v>-4.0431049867524615</v>
      </c>
    </row>
    <row r="675" spans="1:34" x14ac:dyDescent="0.25">
      <c r="A675" s="402">
        <f t="shared" ca="1" si="296"/>
        <v>0.1</v>
      </c>
      <c r="B675" s="357">
        <f t="shared" ca="1" si="297"/>
        <v>31.100000000000129</v>
      </c>
      <c r="C675" s="342"/>
      <c r="D675" s="359">
        <f t="shared" ca="1" si="298"/>
        <v>-0.79028307443386414</v>
      </c>
      <c r="E675" s="360">
        <f t="shared" ca="1" si="299"/>
        <v>-5.8002639897405279</v>
      </c>
      <c r="F675" s="357">
        <f t="shared" ca="1" si="300"/>
        <v>5.8538542592395784</v>
      </c>
      <c r="G675" s="359">
        <f t="shared" ca="1" si="301"/>
        <v>22.386734276767349</v>
      </c>
      <c r="H675" s="360">
        <f t="shared" ca="1" si="302"/>
        <v>-114.56674855721045</v>
      </c>
      <c r="I675" s="357">
        <f t="shared" ca="1" si="303"/>
        <v>116.73348168605986</v>
      </c>
      <c r="J675" s="359">
        <f t="shared" ca="1" si="304"/>
        <v>916.51861420229966</v>
      </c>
      <c r="K675" s="360">
        <f t="shared" ca="1" si="305"/>
        <v>556.40518975067675</v>
      </c>
      <c r="L675" s="357">
        <f t="shared" ca="1" si="290"/>
        <v>1072.1907970882748</v>
      </c>
      <c r="M675" s="359">
        <f t="shared" ca="1" si="306"/>
        <v>-1.3778244386756908</v>
      </c>
      <c r="N675" s="357">
        <f t="shared" ca="1" si="307"/>
        <v>-78.943525246098801</v>
      </c>
      <c r="O675" s="343"/>
      <c r="P675" s="363">
        <f t="shared" ca="1" si="308"/>
        <v>23</v>
      </c>
      <c r="Q675" s="357">
        <f t="shared" ca="1" si="309"/>
        <v>0</v>
      </c>
      <c r="R675" s="359">
        <f t="shared" ca="1" si="310"/>
        <v>0</v>
      </c>
      <c r="S675" s="360">
        <f t="shared" ca="1" si="311"/>
        <v>8.6519999999999992</v>
      </c>
      <c r="T675" s="357">
        <f t="shared" ca="1" si="291"/>
        <v>84.87612</v>
      </c>
      <c r="U675" s="364">
        <f t="shared" ca="1" si="292"/>
        <v>0</v>
      </c>
      <c r="V675" s="359">
        <f t="shared" ca="1" si="293"/>
        <v>1.1586852575970414</v>
      </c>
      <c r="W675" s="357">
        <f t="shared" ca="1" si="294"/>
        <v>35.738471736516125</v>
      </c>
      <c r="X675" s="343"/>
      <c r="Y675" s="367" t="str">
        <f t="shared" ca="1" si="312"/>
        <v/>
      </c>
      <c r="Z675" s="368" t="str">
        <f t="shared" ca="1" si="313"/>
        <v/>
      </c>
      <c r="AA675" s="369" t="str">
        <f t="shared" ca="1" si="314"/>
        <v/>
      </c>
      <c r="AB675" s="344"/>
      <c r="AC675" s="363" t="e">
        <f t="shared" ca="1" si="315"/>
        <v>#N/A</v>
      </c>
      <c r="AD675" s="376" t="e">
        <f t="shared" ca="1" si="316"/>
        <v>#N/A</v>
      </c>
      <c r="AE675" s="377" t="e">
        <f t="shared" ca="1" si="295"/>
        <v>#N/A</v>
      </c>
      <c r="AF675" s="344"/>
      <c r="AG675" s="359">
        <f t="shared" ca="1" si="317"/>
        <v>5.5379701133151498</v>
      </c>
      <c r="AH675" s="357">
        <f t="shared" ca="1" si="318"/>
        <v>-4.0868729133297252</v>
      </c>
    </row>
    <row r="676" spans="1:34" x14ac:dyDescent="0.25">
      <c r="A676" s="402">
        <f t="shared" ca="1" si="296"/>
        <v>0.1</v>
      </c>
      <c r="B676" s="357">
        <f t="shared" ca="1" si="297"/>
        <v>31.200000000000131</v>
      </c>
      <c r="C676" s="342"/>
      <c r="D676" s="359">
        <f t="shared" ca="1" si="298"/>
        <v>-0.79216339765781563</v>
      </c>
      <c r="E676" s="360">
        <f t="shared" ca="1" si="299"/>
        <v>-5.7560105402745849</v>
      </c>
      <c r="F676" s="357">
        <f t="shared" ca="1" si="300"/>
        <v>5.8102650704026315</v>
      </c>
      <c r="G676" s="359">
        <f t="shared" ca="1" si="301"/>
        <v>22.307517937001567</v>
      </c>
      <c r="H676" s="360">
        <f t="shared" ca="1" si="302"/>
        <v>-115.1423496112379</v>
      </c>
      <c r="I676" s="357">
        <f t="shared" ca="1" si="303"/>
        <v>117.28335785824937</v>
      </c>
      <c r="J676" s="359">
        <f t="shared" ca="1" si="304"/>
        <v>918.75332681298812</v>
      </c>
      <c r="K676" s="360">
        <f t="shared" ca="1" si="305"/>
        <v>544.91973484225434</v>
      </c>
      <c r="L676" s="357">
        <f t="shared" ca="1" si="290"/>
        <v>1068.1971695106133</v>
      </c>
      <c r="M676" s="359">
        <f t="shared" ca="1" si="306"/>
        <v>-1.3794285263715091</v>
      </c>
      <c r="N676" s="357">
        <f t="shared" ca="1" si="307"/>
        <v>-79.035432701038047</v>
      </c>
      <c r="O676" s="343"/>
      <c r="P676" s="363">
        <f t="shared" ca="1" si="308"/>
        <v>23</v>
      </c>
      <c r="Q676" s="357">
        <f t="shared" ca="1" si="309"/>
        <v>0</v>
      </c>
      <c r="R676" s="359">
        <f t="shared" ca="1" si="310"/>
        <v>0</v>
      </c>
      <c r="S676" s="360">
        <f t="shared" ca="1" si="311"/>
        <v>8.6519999999999992</v>
      </c>
      <c r="T676" s="357">
        <f t="shared" ca="1" si="291"/>
        <v>84.87612</v>
      </c>
      <c r="U676" s="364">
        <f t="shared" ca="1" si="292"/>
        <v>0</v>
      </c>
      <c r="V676" s="359">
        <f t="shared" ca="1" si="293"/>
        <v>1.1600178356696429</v>
      </c>
      <c r="W676" s="357">
        <f t="shared" ca="1" si="294"/>
        <v>36.11744893973426</v>
      </c>
      <c r="X676" s="343"/>
      <c r="Y676" s="367" t="str">
        <f t="shared" ca="1" si="312"/>
        <v/>
      </c>
      <c r="Z676" s="368" t="str">
        <f t="shared" ca="1" si="313"/>
        <v/>
      </c>
      <c r="AA676" s="369" t="str">
        <f t="shared" ca="1" si="314"/>
        <v/>
      </c>
      <c r="AB676" s="344"/>
      <c r="AC676" s="363" t="e">
        <f t="shared" ca="1" si="315"/>
        <v>#N/A</v>
      </c>
      <c r="AD676" s="376" t="e">
        <f t="shared" ca="1" si="316"/>
        <v>#N/A</v>
      </c>
      <c r="AE676" s="377" t="e">
        <f t="shared" ca="1" si="295"/>
        <v>#N/A</v>
      </c>
      <c r="AF676" s="344"/>
      <c r="AG676" s="359">
        <f t="shared" ca="1" si="317"/>
        <v>5.4972528147404445</v>
      </c>
      <c r="AH676" s="357">
        <f t="shared" ca="1" si="318"/>
        <v>-4.1306601637212355</v>
      </c>
    </row>
    <row r="677" spans="1:34" x14ac:dyDescent="0.25">
      <c r="A677" s="402">
        <f t="shared" ca="1" si="296"/>
        <v>0.1</v>
      </c>
      <c r="B677" s="357">
        <f t="shared" ca="1" si="297"/>
        <v>31.300000000000132</v>
      </c>
      <c r="C677" s="342"/>
      <c r="D677" s="359">
        <f t="shared" ca="1" si="298"/>
        <v>-0.79399070100965408</v>
      </c>
      <c r="E677" s="360">
        <f t="shared" ca="1" si="299"/>
        <v>-5.7117424017360738</v>
      </c>
      <c r="F677" s="357">
        <f t="shared" ca="1" si="300"/>
        <v>5.7666647637156414</v>
      </c>
      <c r="G677" s="359">
        <f t="shared" ca="1" si="301"/>
        <v>22.228118866900601</v>
      </c>
      <c r="H677" s="360">
        <f t="shared" ca="1" si="302"/>
        <v>-115.71352385141151</v>
      </c>
      <c r="I677" s="357">
        <f t="shared" ca="1" si="303"/>
        <v>117.82915119134248</v>
      </c>
      <c r="J677" s="359">
        <f t="shared" ca="1" si="304"/>
        <v>920.98010865318327</v>
      </c>
      <c r="K677" s="360">
        <f t="shared" ca="1" si="305"/>
        <v>533.37694116912189</v>
      </c>
      <c r="L677" s="357">
        <f t="shared" ca="1" si="290"/>
        <v>1064.2815989698206</v>
      </c>
      <c r="M677" s="359">
        <f t="shared" ca="1" si="306"/>
        <v>-1.3810120746159427</v>
      </c>
      <c r="N677" s="357">
        <f t="shared" ca="1" si="307"/>
        <v>-79.126163332099438</v>
      </c>
      <c r="O677" s="343"/>
      <c r="P677" s="363">
        <f t="shared" ca="1" si="308"/>
        <v>23</v>
      </c>
      <c r="Q677" s="357">
        <f t="shared" ca="1" si="309"/>
        <v>0</v>
      </c>
      <c r="R677" s="359">
        <f t="shared" ca="1" si="310"/>
        <v>0</v>
      </c>
      <c r="S677" s="360">
        <f t="shared" ca="1" si="311"/>
        <v>8.6519999999999992</v>
      </c>
      <c r="T677" s="357">
        <f t="shared" ca="1" si="291"/>
        <v>84.87612</v>
      </c>
      <c r="U677" s="364">
        <f t="shared" ca="1" si="292"/>
        <v>0</v>
      </c>
      <c r="V677" s="359">
        <f t="shared" ca="1" si="293"/>
        <v>1.1613585683149719</v>
      </c>
      <c r="W677" s="357">
        <f t="shared" ca="1" si="294"/>
        <v>36.496519061786309</v>
      </c>
      <c r="X677" s="343"/>
      <c r="Y677" s="367" t="str">
        <f t="shared" ca="1" si="312"/>
        <v/>
      </c>
      <c r="Z677" s="368" t="str">
        <f t="shared" ca="1" si="313"/>
        <v/>
      </c>
      <c r="AA677" s="369" t="str">
        <f t="shared" ca="1" si="314"/>
        <v/>
      </c>
      <c r="AB677" s="344"/>
      <c r="AC677" s="363" t="e">
        <f t="shared" ca="1" si="315"/>
        <v>#N/A</v>
      </c>
      <c r="AD677" s="376" t="e">
        <f t="shared" ca="1" si="316"/>
        <v>#N/A</v>
      </c>
      <c r="AE677" s="377" t="e">
        <f t="shared" ca="1" si="295"/>
        <v>#N/A</v>
      </c>
      <c r="AF677" s="344"/>
      <c r="AG677" s="359">
        <f t="shared" ca="1" si="317"/>
        <v>5.4564559745884607</v>
      </c>
      <c r="AH677" s="357">
        <f t="shared" ca="1" si="318"/>
        <v>-4.1744624294653567</v>
      </c>
    </row>
    <row r="678" spans="1:34" x14ac:dyDescent="0.25">
      <c r="A678" s="402">
        <f t="shared" ca="1" si="296"/>
        <v>0.1</v>
      </c>
      <c r="B678" s="357">
        <f t="shared" ca="1" si="297"/>
        <v>31.400000000000134</v>
      </c>
      <c r="C678" s="342"/>
      <c r="D678" s="359">
        <f t="shared" ca="1" si="298"/>
        <v>-0.79576511270570238</v>
      </c>
      <c r="E678" s="360">
        <f t="shared" ca="1" si="299"/>
        <v>-5.6674638771476129</v>
      </c>
      <c r="F678" s="357">
        <f t="shared" ca="1" si="300"/>
        <v>5.7230576542065839</v>
      </c>
      <c r="G678" s="359">
        <f t="shared" ca="1" si="301"/>
        <v>22.148542355630031</v>
      </c>
      <c r="H678" s="360">
        <f t="shared" ca="1" si="302"/>
        <v>-116.28027023912627</v>
      </c>
      <c r="I678" s="357">
        <f t="shared" ca="1" si="303"/>
        <v>118.37085441680048</v>
      </c>
      <c r="J678" s="359">
        <f t="shared" ca="1" si="304"/>
        <v>923.19894171430974</v>
      </c>
      <c r="K678" s="360">
        <f t="shared" ca="1" si="305"/>
        <v>521.777251464595</v>
      </c>
      <c r="L678" s="357">
        <f t="shared" ca="1" si="290"/>
        <v>1060.4469746896204</v>
      </c>
      <c r="M678" s="359">
        <f t="shared" ca="1" si="306"/>
        <v>-1.3825754899357876</v>
      </c>
      <c r="N678" s="357">
        <f t="shared" ca="1" si="307"/>
        <v>-79.215740431552661</v>
      </c>
      <c r="O678" s="343"/>
      <c r="P678" s="363">
        <f t="shared" ca="1" si="308"/>
        <v>23</v>
      </c>
      <c r="Q678" s="357">
        <f t="shared" ca="1" si="309"/>
        <v>0</v>
      </c>
      <c r="R678" s="359">
        <f t="shared" ca="1" si="310"/>
        <v>0</v>
      </c>
      <c r="S678" s="360">
        <f t="shared" ca="1" si="311"/>
        <v>8.6519999999999992</v>
      </c>
      <c r="T678" s="357">
        <f t="shared" ca="1" si="291"/>
        <v>84.87612</v>
      </c>
      <c r="U678" s="364">
        <f t="shared" ca="1" si="292"/>
        <v>0</v>
      </c>
      <c r="V678" s="359">
        <f t="shared" ca="1" si="293"/>
        <v>1.1627074290192376</v>
      </c>
      <c r="W678" s="357">
        <f t="shared" ca="1" si="294"/>
        <v>36.875645396754841</v>
      </c>
      <c r="X678" s="343"/>
      <c r="Y678" s="367" t="str">
        <f t="shared" ca="1" si="312"/>
        <v/>
      </c>
      <c r="Z678" s="368" t="str">
        <f t="shared" ca="1" si="313"/>
        <v/>
      </c>
      <c r="AA678" s="369" t="str">
        <f t="shared" ca="1" si="314"/>
        <v/>
      </c>
      <c r="AB678" s="344"/>
      <c r="AC678" s="363" t="e">
        <f t="shared" ca="1" si="315"/>
        <v>#N/A</v>
      </c>
      <c r="AD678" s="376" t="e">
        <f t="shared" ca="1" si="316"/>
        <v>#N/A</v>
      </c>
      <c r="AE678" s="377" t="e">
        <f t="shared" ca="1" si="295"/>
        <v>#N/A</v>
      </c>
      <c r="AF678" s="344"/>
      <c r="AG678" s="359">
        <f t="shared" ca="1" si="317"/>
        <v>5.4155856047350035</v>
      </c>
      <c r="AH678" s="357">
        <f t="shared" ca="1" si="318"/>
        <v>-4.2182754347880618</v>
      </c>
    </row>
    <row r="679" spans="1:34" x14ac:dyDescent="0.25">
      <c r="A679" s="402">
        <f t="shared" ca="1" si="296"/>
        <v>0.1</v>
      </c>
      <c r="B679" s="357">
        <f t="shared" ca="1" si="297"/>
        <v>31.500000000000135</v>
      </c>
      <c r="C679" s="342"/>
      <c r="D679" s="359">
        <f t="shared" ca="1" si="298"/>
        <v>-0.79748676906694305</v>
      </c>
      <c r="E679" s="360">
        <f t="shared" ca="1" si="299"/>
        <v>-5.6231792363455542</v>
      </c>
      <c r="F679" s="357">
        <f t="shared" ca="1" si="300"/>
        <v>5.6794480251961632</v>
      </c>
      <c r="G679" s="359">
        <f t="shared" ca="1" si="301"/>
        <v>22.068793678723338</v>
      </c>
      <c r="H679" s="360">
        <f t="shared" ca="1" si="302"/>
        <v>-116.84258816276082</v>
      </c>
      <c r="I679" s="357">
        <f t="shared" ca="1" si="303"/>
        <v>118.90846085542691</v>
      </c>
      <c r="J679" s="359">
        <f t="shared" ca="1" si="304"/>
        <v>925.4098085160274</v>
      </c>
      <c r="K679" s="360">
        <f t="shared" ca="1" si="305"/>
        <v>510.12110854450066</v>
      </c>
      <c r="L679" s="357">
        <f t="shared" ca="1" si="290"/>
        <v>1056.6961999933285</v>
      </c>
      <c r="M679" s="359">
        <f t="shared" ca="1" si="306"/>
        <v>-1.3841191682010388</v>
      </c>
      <c r="N679" s="357">
        <f t="shared" ca="1" si="307"/>
        <v>-79.304186681077624</v>
      </c>
      <c r="O679" s="343"/>
      <c r="P679" s="363">
        <f t="shared" ca="1" si="308"/>
        <v>23</v>
      </c>
      <c r="Q679" s="357">
        <f t="shared" ca="1" si="309"/>
        <v>0</v>
      </c>
      <c r="R679" s="359">
        <f t="shared" ca="1" si="310"/>
        <v>0</v>
      </c>
      <c r="S679" s="360">
        <f t="shared" ca="1" si="311"/>
        <v>8.6519999999999992</v>
      </c>
      <c r="T679" s="357">
        <f t="shared" ca="1" si="291"/>
        <v>84.87612</v>
      </c>
      <c r="U679" s="364">
        <f t="shared" ca="1" si="292"/>
        <v>0</v>
      </c>
      <c r="V679" s="359">
        <f t="shared" ca="1" si="293"/>
        <v>1.1640643912183748</v>
      </c>
      <c r="W679" s="357">
        <f t="shared" ca="1" si="294"/>
        <v>37.254791531938238</v>
      </c>
      <c r="X679" s="343"/>
      <c r="Y679" s="367" t="str">
        <f t="shared" ca="1" si="312"/>
        <v/>
      </c>
      <c r="Z679" s="368" t="str">
        <f t="shared" ca="1" si="313"/>
        <v/>
      </c>
      <c r="AA679" s="369" t="str">
        <f t="shared" ca="1" si="314"/>
        <v/>
      </c>
      <c r="AB679" s="344"/>
      <c r="AC679" s="363" t="e">
        <f t="shared" ca="1" si="315"/>
        <v>#N/A</v>
      </c>
      <c r="AD679" s="376" t="e">
        <f t="shared" ca="1" si="316"/>
        <v>#N/A</v>
      </c>
      <c r="AE679" s="377" t="e">
        <f t="shared" ca="1" si="295"/>
        <v>#N/A</v>
      </c>
      <c r="AF679" s="344"/>
      <c r="AG679" s="359">
        <f t="shared" ca="1" si="317"/>
        <v>5.3746476263693719</v>
      </c>
      <c r="AH679" s="357">
        <f t="shared" ca="1" si="318"/>
        <v>-4.262094937211609</v>
      </c>
    </row>
    <row r="680" spans="1:34" x14ac:dyDescent="0.25">
      <c r="A680" s="402">
        <f t="shared" ca="1" si="296"/>
        <v>0.1</v>
      </c>
      <c r="B680" s="357">
        <f t="shared" ca="1" si="297"/>
        <v>31.600000000000136</v>
      </c>
      <c r="C680" s="342"/>
      <c r="D680" s="359">
        <f t="shared" ca="1" si="298"/>
        <v>-0.79915581437726713</v>
      </c>
      <c r="E680" s="360">
        <f t="shared" ca="1" si="299"/>
        <v>-5.578892715364745</v>
      </c>
      <c r="F680" s="357">
        <f t="shared" ca="1" si="300"/>
        <v>5.6358401277185646</v>
      </c>
      <c r="G680" s="359">
        <f t="shared" ca="1" si="301"/>
        <v>21.98887809728561</v>
      </c>
      <c r="H680" s="360">
        <f t="shared" ca="1" si="302"/>
        <v>-117.4004774342973</v>
      </c>
      <c r="I680" s="357">
        <f t="shared" ca="1" si="303"/>
        <v>119.44196440857056</v>
      </c>
      <c r="J680" s="359">
        <f t="shared" ca="1" si="304"/>
        <v>927.61269210482783</v>
      </c>
      <c r="K680" s="360">
        <f t="shared" ca="1" si="305"/>
        <v>498.40895526464777</v>
      </c>
      <c r="L680" s="357">
        <f t="shared" ca="1" si="290"/>
        <v>1053.0321900312276</v>
      </c>
      <c r="M680" s="359">
        <f t="shared" ca="1" si="306"/>
        <v>-1.3856434949648395</v>
      </c>
      <c r="N680" s="357">
        <f t="shared" ca="1" si="307"/>
        <v>-79.391524171242239</v>
      </c>
      <c r="O680" s="343"/>
      <c r="P680" s="363">
        <f t="shared" ca="1" si="308"/>
        <v>23</v>
      </c>
      <c r="Q680" s="357">
        <f t="shared" ca="1" si="309"/>
        <v>0</v>
      </c>
      <c r="R680" s="359">
        <f t="shared" ca="1" si="310"/>
        <v>0</v>
      </c>
      <c r="S680" s="360">
        <f t="shared" ca="1" si="311"/>
        <v>8.6519999999999992</v>
      </c>
      <c r="T680" s="357">
        <f t="shared" ca="1" si="291"/>
        <v>84.87612</v>
      </c>
      <c r="U680" s="364">
        <f t="shared" ca="1" si="292"/>
        <v>0</v>
      </c>
      <c r="V680" s="359">
        <f t="shared" ca="1" si="293"/>
        <v>1.1654294283003479</v>
      </c>
      <c r="W680" s="357">
        <f t="shared" ca="1" si="294"/>
        <v>37.633921352856895</v>
      </c>
      <c r="X680" s="343"/>
      <c r="Y680" s="367" t="str">
        <f t="shared" ca="1" si="312"/>
        <v/>
      </c>
      <c r="Z680" s="368" t="str">
        <f t="shared" ca="1" si="313"/>
        <v/>
      </c>
      <c r="AA680" s="369" t="str">
        <f t="shared" ca="1" si="314"/>
        <v/>
      </c>
      <c r="AB680" s="344"/>
      <c r="AC680" s="363" t="e">
        <f t="shared" ca="1" si="315"/>
        <v>#N/A</v>
      </c>
      <c r="AD680" s="376" t="e">
        <f t="shared" ca="1" si="316"/>
        <v>#N/A</v>
      </c>
      <c r="AE680" s="377" t="e">
        <f t="shared" ca="1" si="295"/>
        <v>#N/A</v>
      </c>
      <c r="AF680" s="344"/>
      <c r="AG680" s="359">
        <f t="shared" ca="1" si="317"/>
        <v>5.3336478716350326</v>
      </c>
      <c r="AH680" s="357">
        <f t="shared" ca="1" si="318"/>
        <v>-4.305916728148202</v>
      </c>
    </row>
    <row r="681" spans="1:34" x14ac:dyDescent="0.25">
      <c r="A681" s="402">
        <f t="shared" ca="1" si="296"/>
        <v>0.1</v>
      </c>
      <c r="B681" s="357">
        <f t="shared" ca="1" si="297"/>
        <v>31.700000000000138</v>
      </c>
      <c r="C681" s="342"/>
      <c r="D681" s="359">
        <f t="shared" ca="1" si="298"/>
        <v>-0.80077240074256062</v>
      </c>
      <c r="E681" s="360">
        <f t="shared" ca="1" si="299"/>
        <v>-5.5346085158391887</v>
      </c>
      <c r="F681" s="357">
        <f t="shared" ca="1" si="300"/>
        <v>5.5922381799589571</v>
      </c>
      <c r="G681" s="359">
        <f t="shared" ca="1" si="301"/>
        <v>21.908800857211354</v>
      </c>
      <c r="H681" s="360">
        <f t="shared" ca="1" si="302"/>
        <v>-117.95393828588122</v>
      </c>
      <c r="I681" s="357">
        <f t="shared" ca="1" si="303"/>
        <v>119.97135954947923</v>
      </c>
      <c r="J681" s="359">
        <f t="shared" ca="1" si="304"/>
        <v>929.80757605255269</v>
      </c>
      <c r="K681" s="360">
        <f t="shared" ca="1" si="305"/>
        <v>486.64123447863886</v>
      </c>
      <c r="L681" s="357">
        <f t="shared" ca="1" si="290"/>
        <v>1049.4578693685694</v>
      </c>
      <c r="M681" s="359">
        <f t="shared" ca="1" si="306"/>
        <v>-1.3871488457907437</v>
      </c>
      <c r="N681" s="357">
        <f t="shared" ca="1" si="307"/>
        <v>-79.477774420253084</v>
      </c>
      <c r="O681" s="343"/>
      <c r="P681" s="363">
        <f t="shared" ca="1" si="308"/>
        <v>23</v>
      </c>
      <c r="Q681" s="357">
        <f t="shared" ca="1" si="309"/>
        <v>0</v>
      </c>
      <c r="R681" s="359">
        <f t="shared" ca="1" si="310"/>
        <v>0</v>
      </c>
      <c r="S681" s="360">
        <f t="shared" ca="1" si="311"/>
        <v>8.6519999999999992</v>
      </c>
      <c r="T681" s="357">
        <f t="shared" ca="1" si="291"/>
        <v>84.87612</v>
      </c>
      <c r="U681" s="364">
        <f t="shared" ca="1" si="292"/>
        <v>0</v>
      </c>
      <c r="V681" s="359">
        <f t="shared" ca="1" si="293"/>
        <v>1.166802513607448</v>
      </c>
      <c r="W681" s="357">
        <f t="shared" ca="1" si="294"/>
        <v>38.012999048128258</v>
      </c>
      <c r="X681" s="343"/>
      <c r="Y681" s="367" t="str">
        <f t="shared" ca="1" si="312"/>
        <v/>
      </c>
      <c r="Z681" s="368" t="str">
        <f t="shared" ca="1" si="313"/>
        <v/>
      </c>
      <c r="AA681" s="369" t="str">
        <f t="shared" ca="1" si="314"/>
        <v/>
      </c>
      <c r="AB681" s="344"/>
      <c r="AC681" s="363" t="e">
        <f t="shared" ca="1" si="315"/>
        <v>#N/A</v>
      </c>
      <c r="AD681" s="376" t="e">
        <f t="shared" ca="1" si="316"/>
        <v>#N/A</v>
      </c>
      <c r="AE681" s="377" t="e">
        <f t="shared" ca="1" si="295"/>
        <v>#N/A</v>
      </c>
      <c r="AF681" s="344"/>
      <c r="AG681" s="359">
        <f t="shared" ca="1" si="317"/>
        <v>5.2925920851858406</v>
      </c>
      <c r="AH681" s="357">
        <f t="shared" ca="1" si="318"/>
        <v>-4.3497366334786056</v>
      </c>
    </row>
    <row r="682" spans="1:34" x14ac:dyDescent="0.25">
      <c r="A682" s="402">
        <f t="shared" ca="1" si="296"/>
        <v>0.1</v>
      </c>
      <c r="B682" s="357">
        <f t="shared" ca="1" si="297"/>
        <v>31.800000000000139</v>
      </c>
      <c r="C682" s="342"/>
      <c r="D682" s="359">
        <f t="shared" ca="1" si="298"/>
        <v>-0.80233668795058111</v>
      </c>
      <c r="E682" s="360">
        <f t="shared" ca="1" si="299"/>
        <v>-5.4903308044186963</v>
      </c>
      <c r="F682" s="357">
        <f t="shared" ca="1" si="300"/>
        <v>5.548646366707862</v>
      </c>
      <c r="G682" s="359">
        <f t="shared" ca="1" si="301"/>
        <v>21.828567188416297</v>
      </c>
      <c r="H682" s="360">
        <f t="shared" ca="1" si="302"/>
        <v>-118.5029713663231</v>
      </c>
      <c r="I682" s="357">
        <f t="shared" ca="1" si="303"/>
        <v>120.4966413147968</v>
      </c>
      <c r="J682" s="359">
        <f t="shared" ca="1" si="304"/>
        <v>931.99444445483402</v>
      </c>
      <c r="K682" s="360">
        <f t="shared" ca="1" si="305"/>
        <v>474.81838899602866</v>
      </c>
      <c r="L682" s="357">
        <f t="shared" ca="1" si="290"/>
        <v>1045.9761694338254</v>
      </c>
      <c r="M682" s="359">
        <f t="shared" ca="1" si="306"/>
        <v>-1.3886355865678257</v>
      </c>
      <c r="N682" s="357">
        <f t="shared" ca="1" si="307"/>
        <v>-79.56295839200989</v>
      </c>
      <c r="O682" s="343"/>
      <c r="P682" s="363">
        <f t="shared" ca="1" si="308"/>
        <v>23</v>
      </c>
      <c r="Q682" s="357">
        <f t="shared" ca="1" si="309"/>
        <v>0</v>
      </c>
      <c r="R682" s="359">
        <f t="shared" ca="1" si="310"/>
        <v>0</v>
      </c>
      <c r="S682" s="360">
        <f t="shared" ca="1" si="311"/>
        <v>8.6519999999999992</v>
      </c>
      <c r="T682" s="357">
        <f t="shared" ca="1" si="291"/>
        <v>84.87612</v>
      </c>
      <c r="U682" s="364">
        <f t="shared" ca="1" si="292"/>
        <v>0</v>
      </c>
      <c r="V682" s="359">
        <f t="shared" ca="1" si="293"/>
        <v>1.1681836204385838</v>
      </c>
      <c r="W682" s="357">
        <f t="shared" ca="1" si="294"/>
        <v>38.391989114210716</v>
      </c>
      <c r="X682" s="343"/>
      <c r="Y682" s="367" t="str">
        <f t="shared" ca="1" si="312"/>
        <v/>
      </c>
      <c r="Z682" s="368" t="str">
        <f t="shared" ca="1" si="313"/>
        <v/>
      </c>
      <c r="AA682" s="369" t="str">
        <f t="shared" ca="1" si="314"/>
        <v/>
      </c>
      <c r="AB682" s="344"/>
      <c r="AC682" s="363" t="e">
        <f t="shared" ca="1" si="315"/>
        <v>#N/A</v>
      </c>
      <c r="AD682" s="376" t="e">
        <f t="shared" ca="1" si="316"/>
        <v>#N/A</v>
      </c>
      <c r="AE682" s="377" t="e">
        <f t="shared" ca="1" si="295"/>
        <v>#N/A</v>
      </c>
      <c r="AF682" s="344"/>
      <c r="AG682" s="359">
        <f t="shared" ca="1" si="317"/>
        <v>5.2514859256628839</v>
      </c>
      <c r="AH682" s="357">
        <f t="shared" ca="1" si="318"/>
        <v>-4.3935505141156099</v>
      </c>
    </row>
    <row r="683" spans="1:34" x14ac:dyDescent="0.25">
      <c r="A683" s="402">
        <f t="shared" ca="1" si="296"/>
        <v>0.1</v>
      </c>
      <c r="B683" s="357">
        <f t="shared" ca="1" si="297"/>
        <v>31.900000000000141</v>
      </c>
      <c r="C683" s="342"/>
      <c r="D683" s="359">
        <f t="shared" ca="1" si="298"/>
        <v>-0.80384884333160878</v>
      </c>
      <c r="E683" s="360">
        <f t="shared" ca="1" si="299"/>
        <v>-5.4460637122015001</v>
      </c>
      <c r="F683" s="357">
        <f t="shared" ca="1" si="300"/>
        <v>5.5050688388324032</v>
      </c>
      <c r="G683" s="359">
        <f t="shared" ca="1" si="301"/>
        <v>21.748182304083137</v>
      </c>
      <c r="H683" s="360">
        <f t="shared" ca="1" si="302"/>
        <v>-119.04757773754325</v>
      </c>
      <c r="I683" s="357">
        <f t="shared" ca="1" si="303"/>
        <v>121.01780529619614</v>
      </c>
      <c r="J683" s="359">
        <f t="shared" ca="1" si="304"/>
        <v>934.17328192945899</v>
      </c>
      <c r="K683" s="360">
        <f t="shared" ca="1" si="305"/>
        <v>462.94086154083533</v>
      </c>
      <c r="L683" s="357">
        <f t="shared" ca="1" si="290"/>
        <v>1042.5900258275194</v>
      </c>
      <c r="M683" s="359">
        <f t="shared" ca="1" si="306"/>
        <v>-1.3901040738141521</v>
      </c>
      <c r="N683" s="357">
        <f t="shared" ca="1" si="307"/>
        <v>-79.647096513493182</v>
      </c>
      <c r="O683" s="343"/>
      <c r="P683" s="363">
        <f t="shared" ca="1" si="308"/>
        <v>23</v>
      </c>
      <c r="Q683" s="357">
        <f t="shared" ca="1" si="309"/>
        <v>0</v>
      </c>
      <c r="R683" s="359">
        <f t="shared" ca="1" si="310"/>
        <v>0</v>
      </c>
      <c r="S683" s="360">
        <f t="shared" ca="1" si="311"/>
        <v>8.6519999999999992</v>
      </c>
      <c r="T683" s="357">
        <f t="shared" ca="1" si="291"/>
        <v>84.87612</v>
      </c>
      <c r="U683" s="364">
        <f t="shared" ca="1" si="292"/>
        <v>0</v>
      </c>
      <c r="V683" s="359">
        <f t="shared" ca="1" si="293"/>
        <v>1.1695727220515633</v>
      </c>
      <c r="W683" s="357">
        <f t="shared" ca="1" si="294"/>
        <v>38.770856360015607</v>
      </c>
      <c r="X683" s="343"/>
      <c r="Y683" s="367" t="str">
        <f t="shared" ca="1" si="312"/>
        <v/>
      </c>
      <c r="Z683" s="368" t="str">
        <f t="shared" ca="1" si="313"/>
        <v/>
      </c>
      <c r="AA683" s="369" t="str">
        <f t="shared" ca="1" si="314"/>
        <v/>
      </c>
      <c r="AB683" s="344"/>
      <c r="AC683" s="363" t="e">
        <f t="shared" ca="1" si="315"/>
        <v>#N/A</v>
      </c>
      <c r="AD683" s="376" t="e">
        <f t="shared" ca="1" si="316"/>
        <v>#N/A</v>
      </c>
      <c r="AE683" s="377" t="e">
        <f t="shared" ca="1" si="295"/>
        <v>#N/A</v>
      </c>
      <c r="AF683" s="344"/>
      <c r="AG683" s="359">
        <f t="shared" ca="1" si="317"/>
        <v>5.2103349670966681</v>
      </c>
      <c r="AH683" s="357">
        <f t="shared" ca="1" si="318"/>
        <v>-4.4373542665523251</v>
      </c>
    </row>
    <row r="684" spans="1:34" x14ac:dyDescent="0.25">
      <c r="A684" s="402">
        <f t="shared" ca="1" si="296"/>
        <v>0.1</v>
      </c>
      <c r="B684" s="357">
        <f t="shared" ca="1" si="297"/>
        <v>32.000000000000142</v>
      </c>
      <c r="C684" s="342"/>
      <c r="D684" s="359">
        <f t="shared" ca="1" si="298"/>
        <v>-0.80530904161983774</v>
      </c>
      <c r="E684" s="360">
        <f t="shared" ca="1" si="299"/>
        <v>-5.4018113341828666</v>
      </c>
      <c r="F684" s="357">
        <f t="shared" ca="1" si="300"/>
        <v>5.4615097127645154</v>
      </c>
      <c r="G684" s="359">
        <f t="shared" ca="1" si="301"/>
        <v>21.667651399921155</v>
      </c>
      <c r="H684" s="360">
        <f t="shared" ca="1" si="302"/>
        <v>-119.58775887096154</v>
      </c>
      <c r="I684" s="357">
        <f t="shared" ca="1" si="303"/>
        <v>121.53484763214107</v>
      </c>
      <c r="J684" s="359">
        <f t="shared" ca="1" si="304"/>
        <v>936.34407361465924</v>
      </c>
      <c r="K684" s="360">
        <f t="shared" ca="1" si="305"/>
        <v>451.00909471041007</v>
      </c>
      <c r="L684" s="357">
        <f t="shared" ca="1" si="290"/>
        <v>1039.302375492714</v>
      </c>
      <c r="M684" s="359">
        <f t="shared" ca="1" si="306"/>
        <v>-1.391554654969106</v>
      </c>
      <c r="N684" s="357">
        <f t="shared" ca="1" si="307"/>
        <v>-79.730208691513241</v>
      </c>
      <c r="O684" s="343"/>
      <c r="P684" s="363">
        <f t="shared" ca="1" si="308"/>
        <v>23</v>
      </c>
      <c r="Q684" s="357">
        <f t="shared" ca="1" si="309"/>
        <v>0</v>
      </c>
      <c r="R684" s="359">
        <f t="shared" ca="1" si="310"/>
        <v>0</v>
      </c>
      <c r="S684" s="360">
        <f t="shared" ca="1" si="311"/>
        <v>8.6519999999999992</v>
      </c>
      <c r="T684" s="357">
        <f t="shared" ca="1" si="291"/>
        <v>84.87612</v>
      </c>
      <c r="U684" s="364">
        <f t="shared" ca="1" si="292"/>
        <v>0</v>
      </c>
      <c r="V684" s="359">
        <f t="shared" ca="1" si="293"/>
        <v>1.1709697916653756</v>
      </c>
      <c r="W684" s="357">
        <f t="shared" ca="1" si="294"/>
        <v>39.149565911387363</v>
      </c>
      <c r="X684" s="343"/>
      <c r="Y684" s="367" t="str">
        <f t="shared" ca="1" si="312"/>
        <v/>
      </c>
      <c r="Z684" s="368" t="str">
        <f t="shared" ca="1" si="313"/>
        <v/>
      </c>
      <c r="AA684" s="369" t="str">
        <f t="shared" ca="1" si="314"/>
        <v/>
      </c>
      <c r="AB684" s="344"/>
      <c r="AC684" s="363">
        <f t="shared" ca="1" si="315"/>
        <v>32.000000000000142</v>
      </c>
      <c r="AD684" s="376">
        <f t="shared" ca="1" si="316"/>
        <v>936.34407361465924</v>
      </c>
      <c r="AE684" s="377" t="e">
        <f t="shared" ca="1" si="295"/>
        <v>#N/A</v>
      </c>
      <c r="AF684" s="344"/>
      <c r="AG684" s="359">
        <f t="shared" ca="1" si="317"/>
        <v>5.1691447002391229</v>
      </c>
      <c r="AH684" s="357">
        <f t="shared" ca="1" si="318"/>
        <v>-4.4811438233952394</v>
      </c>
    </row>
    <row r="685" spans="1:34" x14ac:dyDescent="0.25">
      <c r="A685" s="402">
        <f t="shared" ca="1" si="296"/>
        <v>0.1</v>
      </c>
      <c r="B685" s="357">
        <f t="shared" ca="1" si="297"/>
        <v>32.100000000000144</v>
      </c>
      <c r="C685" s="342"/>
      <c r="D685" s="359">
        <f t="shared" ca="1" si="298"/>
        <v>-0.80671746481548001</v>
      </c>
      <c r="E685" s="360">
        <f t="shared" ca="1" si="299"/>
        <v>-5.3575777287196846</v>
      </c>
      <c r="F685" s="357">
        <f t="shared" ca="1" si="300"/>
        <v>5.4179730700061155</v>
      </c>
      <c r="G685" s="359">
        <f t="shared" ca="1" si="301"/>
        <v>21.586979653439606</v>
      </c>
      <c r="H685" s="360">
        <f t="shared" ca="1" si="302"/>
        <v>-120.12351664383351</v>
      </c>
      <c r="I685" s="357">
        <f t="shared" ca="1" si="303"/>
        <v>122.04776499977115</v>
      </c>
      <c r="J685" s="359">
        <f t="shared" ca="1" si="304"/>
        <v>938.50680516732723</v>
      </c>
      <c r="K685" s="360">
        <f t="shared" ca="1" si="305"/>
        <v>439.0235309346703</v>
      </c>
      <c r="L685" s="357">
        <f t="shared" ca="1" si="290"/>
        <v>1036.1161537490518</v>
      </c>
      <c r="M685" s="359">
        <f t="shared" ca="1" si="306"/>
        <v>-1.3929876686750262</v>
      </c>
      <c r="N685" s="357">
        <f t="shared" ca="1" si="307"/>
        <v>-79.812314328846867</v>
      </c>
      <c r="O685" s="343"/>
      <c r="P685" s="363">
        <f t="shared" ca="1" si="308"/>
        <v>23</v>
      </c>
      <c r="Q685" s="357">
        <f t="shared" ca="1" si="309"/>
        <v>0</v>
      </c>
      <c r="R685" s="359">
        <f t="shared" ca="1" si="310"/>
        <v>0</v>
      </c>
      <c r="S685" s="360">
        <f t="shared" ca="1" si="311"/>
        <v>8.6519999999999992</v>
      </c>
      <c r="T685" s="357">
        <f t="shared" ca="1" si="291"/>
        <v>84.87612</v>
      </c>
      <c r="U685" s="364">
        <f t="shared" ca="1" si="292"/>
        <v>0</v>
      </c>
      <c r="V685" s="359">
        <f t="shared" ca="1" si="293"/>
        <v>1.1723748024624561</v>
      </c>
      <c r="W685" s="357">
        <f t="shared" ca="1" si="294"/>
        <v>39.528083215451133</v>
      </c>
      <c r="X685" s="343"/>
      <c r="Y685" s="367" t="str">
        <f t="shared" ca="1" si="312"/>
        <v/>
      </c>
      <c r="Z685" s="368" t="str">
        <f t="shared" ca="1" si="313"/>
        <v/>
      </c>
      <c r="AA685" s="369" t="str">
        <f t="shared" ca="1" si="314"/>
        <v/>
      </c>
      <c r="AB685" s="344"/>
      <c r="AC685" s="363" t="e">
        <f t="shared" ca="1" si="315"/>
        <v>#N/A</v>
      </c>
      <c r="AD685" s="376" t="e">
        <f t="shared" ca="1" si="316"/>
        <v>#N/A</v>
      </c>
      <c r="AE685" s="377" t="e">
        <f t="shared" ca="1" si="295"/>
        <v>#N/A</v>
      </c>
      <c r="AF685" s="344"/>
      <c r="AG685" s="359">
        <f t="shared" ca="1" si="317"/>
        <v>5.1279205338296459</v>
      </c>
      <c r="AH685" s="357">
        <f t="shared" ca="1" si="318"/>
        <v>-4.5249151538820351</v>
      </c>
    </row>
    <row r="686" spans="1:34" x14ac:dyDescent="0.25">
      <c r="A686" s="402">
        <f t="shared" ca="1" si="296"/>
        <v>0.1</v>
      </c>
      <c r="B686" s="357">
        <f t="shared" ca="1" si="297"/>
        <v>32.200000000000145</v>
      </c>
      <c r="C686" s="342"/>
      <c r="D686" s="359">
        <f t="shared" ca="1" si="298"/>
        <v>-0.80807430204757047</v>
      </c>
      <c r="E686" s="360">
        <f t="shared" ca="1" si="299"/>
        <v>-5.3133669170110691</v>
      </c>
      <c r="F686" s="357">
        <f t="shared" ca="1" si="300"/>
        <v>5.3744629566513327</v>
      </c>
      <c r="G686" s="359">
        <f t="shared" ca="1" si="301"/>
        <v>21.506172223234849</v>
      </c>
      <c r="H686" s="360">
        <f t="shared" ca="1" si="302"/>
        <v>-120.65485333553463</v>
      </c>
      <c r="I686" s="357">
        <f t="shared" ca="1" si="303"/>
        <v>122.55655460690305</v>
      </c>
      <c r="J686" s="359">
        <f t="shared" ca="1" si="304"/>
        <v>940.66146276116092</v>
      </c>
      <c r="K686" s="360">
        <f t="shared" ca="1" si="305"/>
        <v>426.98461243570188</v>
      </c>
      <c r="L686" s="357">
        <f t="shared" ca="1" si="290"/>
        <v>1033.0342911931016</v>
      </c>
      <c r="M686" s="359">
        <f t="shared" ca="1" si="306"/>
        <v>-1.3944034450486107</v>
      </c>
      <c r="N686" s="357">
        <f t="shared" ca="1" si="307"/>
        <v>-79.893432339787594</v>
      </c>
      <c r="O686" s="343"/>
      <c r="P686" s="363">
        <f t="shared" ca="1" si="308"/>
        <v>23</v>
      </c>
      <c r="Q686" s="357">
        <f t="shared" ca="1" si="309"/>
        <v>0</v>
      </c>
      <c r="R686" s="359">
        <f t="shared" ca="1" si="310"/>
        <v>0</v>
      </c>
      <c r="S686" s="360">
        <f t="shared" ca="1" si="311"/>
        <v>8.6519999999999992</v>
      </c>
      <c r="T686" s="357">
        <f t="shared" ca="1" si="291"/>
        <v>84.87612</v>
      </c>
      <c r="U686" s="364">
        <f t="shared" ca="1" si="292"/>
        <v>0</v>
      </c>
      <c r="V686" s="359">
        <f t="shared" ca="1" si="293"/>
        <v>1.173787727590953</v>
      </c>
      <c r="W686" s="357">
        <f t="shared" ca="1" si="294"/>
        <v>39.906374044828084</v>
      </c>
      <c r="X686" s="343"/>
      <c r="Y686" s="367" t="str">
        <f t="shared" ca="1" si="312"/>
        <v/>
      </c>
      <c r="Z686" s="368" t="str">
        <f t="shared" ca="1" si="313"/>
        <v/>
      </c>
      <c r="AA686" s="369" t="str">
        <f t="shared" ca="1" si="314"/>
        <v/>
      </c>
      <c r="AB686" s="344"/>
      <c r="AC686" s="363" t="e">
        <f t="shared" ca="1" si="315"/>
        <v>#N/A</v>
      </c>
      <c r="AD686" s="376" t="e">
        <f t="shared" ca="1" si="316"/>
        <v>#N/A</v>
      </c>
      <c r="AE686" s="377" t="e">
        <f t="shared" ca="1" si="295"/>
        <v>#N/A</v>
      </c>
      <c r="AF686" s="344"/>
      <c r="AG686" s="359">
        <f t="shared" ca="1" si="317"/>
        <v>5.0866677957992037</v>
      </c>
      <c r="AH686" s="357">
        <f t="shared" ca="1" si="318"/>
        <v>-4.5686642643840889</v>
      </c>
    </row>
    <row r="687" spans="1:34" x14ac:dyDescent="0.25">
      <c r="A687" s="402">
        <f t="shared" ca="1" si="296"/>
        <v>0.1</v>
      </c>
      <c r="B687" s="357">
        <f t="shared" ca="1" si="297"/>
        <v>32.300000000000146</v>
      </c>
      <c r="C687" s="342"/>
      <c r="D687" s="359">
        <f t="shared" ca="1" si="298"/>
        <v>-0.80937974943744007</v>
      </c>
      <c r="E687" s="360">
        <f t="shared" ca="1" si="299"/>
        <v>-5.2691828825949356</v>
      </c>
      <c r="F687" s="357">
        <f t="shared" ca="1" si="300"/>
        <v>5.3309833829257887</v>
      </c>
      <c r="G687" s="359">
        <f t="shared" ca="1" si="301"/>
        <v>21.425234248291105</v>
      </c>
      <c r="H687" s="360">
        <f t="shared" ca="1" si="302"/>
        <v>-121.18177162379412</v>
      </c>
      <c r="I687" s="357">
        <f t="shared" ca="1" si="303"/>
        <v>123.06121418414308</v>
      </c>
      <c r="J687" s="359">
        <f t="shared" ca="1" si="304"/>
        <v>942.80803308473719</v>
      </c>
      <c r="K687" s="360">
        <f t="shared" ca="1" si="305"/>
        <v>414.89278118773547</v>
      </c>
      <c r="L687" s="357">
        <f t="shared" ca="1" si="290"/>
        <v>1030.0597104686724</v>
      </c>
      <c r="M687" s="359">
        <f t="shared" ca="1" si="306"/>
        <v>-1.3958023059425022</v>
      </c>
      <c r="N687" s="357">
        <f t="shared" ca="1" si="307"/>
        <v>-79.973581165133481</v>
      </c>
      <c r="O687" s="343"/>
      <c r="P687" s="363">
        <f t="shared" ca="1" si="308"/>
        <v>23</v>
      </c>
      <c r="Q687" s="357">
        <f t="shared" ca="1" si="309"/>
        <v>0</v>
      </c>
      <c r="R687" s="359">
        <f t="shared" ca="1" si="310"/>
        <v>0</v>
      </c>
      <c r="S687" s="360">
        <f t="shared" ca="1" si="311"/>
        <v>8.6519999999999992</v>
      </c>
      <c r="T687" s="357">
        <f t="shared" ca="1" si="291"/>
        <v>84.87612</v>
      </c>
      <c r="U687" s="364">
        <f t="shared" ca="1" si="292"/>
        <v>0</v>
      </c>
      <c r="V687" s="359">
        <f t="shared" ca="1" si="293"/>
        <v>1.1752085401669783</v>
      </c>
      <c r="W687" s="357">
        <f t="shared" ca="1" si="294"/>
        <v>40.284404501717944</v>
      </c>
      <c r="X687" s="343"/>
      <c r="Y687" s="367" t="str">
        <f t="shared" ca="1" si="312"/>
        <v/>
      </c>
      <c r="Z687" s="368" t="str">
        <f t="shared" ca="1" si="313"/>
        <v/>
      </c>
      <c r="AA687" s="369" t="str">
        <f t="shared" ca="1" si="314"/>
        <v/>
      </c>
      <c r="AB687" s="344"/>
      <c r="AC687" s="363" t="e">
        <f t="shared" ca="1" si="315"/>
        <v>#N/A</v>
      </c>
      <c r="AD687" s="376" t="e">
        <f t="shared" ca="1" si="316"/>
        <v>#N/A</v>
      </c>
      <c r="AE687" s="377" t="e">
        <f t="shared" ca="1" si="295"/>
        <v>#N/A</v>
      </c>
      <c r="AF687" s="344"/>
      <c r="AG687" s="359">
        <f t="shared" ca="1" si="317"/>
        <v>5.045391734416242</v>
      </c>
      <c r="AH687" s="357">
        <f t="shared" ca="1" si="318"/>
        <v>-4.6123871988936767</v>
      </c>
    </row>
    <row r="688" spans="1:34" x14ac:dyDescent="0.25">
      <c r="A688" s="402">
        <f t="shared" ca="1" si="296"/>
        <v>0.1</v>
      </c>
      <c r="B688" s="357">
        <f t="shared" ca="1" si="297"/>
        <v>32.400000000000148</v>
      </c>
      <c r="C688" s="342"/>
      <c r="D688" s="359">
        <f t="shared" ca="1" si="298"/>
        <v>-0.81063400996286339</v>
      </c>
      <c r="E688" s="360">
        <f t="shared" ca="1" si="299"/>
        <v>-5.225029570860567</v>
      </c>
      <c r="F688" s="357">
        <f t="shared" ca="1" si="300"/>
        <v>5.2875383227429973</v>
      </c>
      <c r="G688" s="359">
        <f t="shared" ca="1" si="301"/>
        <v>21.344170847294819</v>
      </c>
      <c r="H688" s="360">
        <f t="shared" ca="1" si="302"/>
        <v>-121.70427458088018</v>
      </c>
      <c r="I688" s="357">
        <f t="shared" ca="1" si="303"/>
        <v>123.56174197710547</v>
      </c>
      <c r="J688" s="359">
        <f t="shared" ca="1" si="304"/>
        <v>944.94650333951654</v>
      </c>
      <c r="K688" s="360">
        <f t="shared" ca="1" si="305"/>
        <v>402.74847887750173</v>
      </c>
      <c r="L688" s="357">
        <f t="shared" ca="1" si="290"/>
        <v>1027.1953229117237</v>
      </c>
      <c r="M688" s="359">
        <f t="shared" ca="1" si="306"/>
        <v>-1.3971845651974666</v>
      </c>
      <c r="N688" s="357">
        <f t="shared" ca="1" si="307"/>
        <v>-80.052778786635841</v>
      </c>
      <c r="O688" s="343"/>
      <c r="P688" s="363">
        <f t="shared" ca="1" si="308"/>
        <v>23</v>
      </c>
      <c r="Q688" s="357">
        <f t="shared" ca="1" si="309"/>
        <v>0</v>
      </c>
      <c r="R688" s="359">
        <f t="shared" ca="1" si="310"/>
        <v>0</v>
      </c>
      <c r="S688" s="360">
        <f t="shared" ca="1" si="311"/>
        <v>8.6519999999999992</v>
      </c>
      <c r="T688" s="357">
        <f t="shared" ca="1" si="291"/>
        <v>84.87612</v>
      </c>
      <c r="U688" s="364">
        <f t="shared" ca="1" si="292"/>
        <v>0</v>
      </c>
      <c r="V688" s="359">
        <f t="shared" ca="1" si="293"/>
        <v>1.1766372132768574</v>
      </c>
      <c r="W688" s="357">
        <f t="shared" ca="1" si="294"/>
        <v>40.66214102184896</v>
      </c>
      <c r="X688" s="343"/>
      <c r="Y688" s="367" t="str">
        <f t="shared" ca="1" si="312"/>
        <v/>
      </c>
      <c r="Z688" s="368" t="str">
        <f t="shared" ca="1" si="313"/>
        <v/>
      </c>
      <c r="AA688" s="369" t="str">
        <f t="shared" ca="1" si="314"/>
        <v/>
      </c>
      <c r="AB688" s="344"/>
      <c r="AC688" s="363" t="e">
        <f t="shared" ca="1" si="315"/>
        <v>#N/A</v>
      </c>
      <c r="AD688" s="376" t="e">
        <f t="shared" ca="1" si="316"/>
        <v>#N/A</v>
      </c>
      <c r="AE688" s="377" t="e">
        <f t="shared" ca="1" si="295"/>
        <v>#N/A</v>
      </c>
      <c r="AF688" s="344"/>
      <c r="AG688" s="359">
        <f t="shared" ca="1" si="317"/>
        <v>5.0040975193779618</v>
      </c>
      <c r="AH688" s="357">
        <f t="shared" ca="1" si="318"/>
        <v>-4.6560800394958326</v>
      </c>
    </row>
    <row r="689" spans="1:34" x14ac:dyDescent="0.25">
      <c r="A689" s="402">
        <f t="shared" ca="1" si="296"/>
        <v>0.1</v>
      </c>
      <c r="B689" s="357">
        <f t="shared" ca="1" si="297"/>
        <v>32.500000000000149</v>
      </c>
      <c r="C689" s="342"/>
      <c r="D689" s="359">
        <f t="shared" ca="1" si="298"/>
        <v>-0.81183729332284549</v>
      </c>
      <c r="E689" s="360">
        <f t="shared" ca="1" si="299"/>
        <v>-5.1809108885771211</v>
      </c>
      <c r="F689" s="357">
        <f t="shared" ca="1" si="300"/>
        <v>5.2441317132778753</v>
      </c>
      <c r="G689" s="359">
        <f t="shared" ca="1" si="301"/>
        <v>21.262987117962535</v>
      </c>
      <c r="H689" s="360">
        <f t="shared" ca="1" si="302"/>
        <v>-122.2223656697379</v>
      </c>
      <c r="I689" s="357">
        <f t="shared" ca="1" si="303"/>
        <v>124.05813673873135</v>
      </c>
      <c r="J689" s="359">
        <f t="shared" ca="1" si="304"/>
        <v>947.07686123777944</v>
      </c>
      <c r="K689" s="360">
        <f t="shared" ca="1" si="305"/>
        <v>390.55214686497084</v>
      </c>
      <c r="L689" s="357">
        <f t="shared" ca="1" si="290"/>
        <v>1024.4440250754758</v>
      </c>
      <c r="M689" s="359">
        <f t="shared" ca="1" si="306"/>
        <v>-1.3985505288855447</v>
      </c>
      <c r="N689" s="357">
        <f t="shared" ca="1" si="307"/>
        <v>-80.131042740930837</v>
      </c>
      <c r="O689" s="343"/>
      <c r="P689" s="363">
        <f t="shared" ca="1" si="308"/>
        <v>23</v>
      </c>
      <c r="Q689" s="357">
        <f t="shared" ca="1" si="309"/>
        <v>0</v>
      </c>
      <c r="R689" s="359">
        <f t="shared" ca="1" si="310"/>
        <v>0</v>
      </c>
      <c r="S689" s="360">
        <f t="shared" ca="1" si="311"/>
        <v>8.6519999999999992</v>
      </c>
      <c r="T689" s="357">
        <f t="shared" ca="1" si="291"/>
        <v>84.87612</v>
      </c>
      <c r="U689" s="364">
        <f t="shared" ca="1" si="292"/>
        <v>0</v>
      </c>
      <c r="V689" s="359">
        <f t="shared" ca="1" si="293"/>
        <v>1.1780737199793634</v>
      </c>
      <c r="W689" s="357">
        <f t="shared" ca="1" si="294"/>
        <v>41.03955037829499</v>
      </c>
      <c r="X689" s="343"/>
      <c r="Y689" s="367" t="str">
        <f t="shared" ca="1" si="312"/>
        <v/>
      </c>
      <c r="Z689" s="368" t="str">
        <f t="shared" ca="1" si="313"/>
        <v/>
      </c>
      <c r="AA689" s="369" t="str">
        <f t="shared" ca="1" si="314"/>
        <v/>
      </c>
      <c r="AB689" s="344"/>
      <c r="AC689" s="363" t="e">
        <f t="shared" ca="1" si="315"/>
        <v>#N/A</v>
      </c>
      <c r="AD689" s="376" t="e">
        <f t="shared" ca="1" si="316"/>
        <v>#N/A</v>
      </c>
      <c r="AE689" s="377" t="e">
        <f t="shared" ca="1" si="295"/>
        <v>#N/A</v>
      </c>
      <c r="AF689" s="344"/>
      <c r="AG689" s="359">
        <f t="shared" ca="1" si="317"/>
        <v>4.9627902428503665</v>
      </c>
      <c r="AH689" s="357">
        <f t="shared" ca="1" si="318"/>
        <v>-4.6997389068248916</v>
      </c>
    </row>
    <row r="690" spans="1:34" x14ac:dyDescent="0.25">
      <c r="A690" s="402">
        <f t="shared" ca="1" si="296"/>
        <v>0.1</v>
      </c>
      <c r="B690" s="357">
        <f t="shared" ca="1" si="297"/>
        <v>32.600000000000151</v>
      </c>
      <c r="C690" s="342"/>
      <c r="D690" s="359">
        <f t="shared" ca="1" si="298"/>
        <v>-0.81298981580305318</v>
      </c>
      <c r="E690" s="360">
        <f t="shared" ca="1" si="299"/>
        <v>-5.1368307034381058</v>
      </c>
      <c r="F690" s="357">
        <f t="shared" ca="1" si="300"/>
        <v>5.2007674545574432</v>
      </c>
      <c r="G690" s="359">
        <f t="shared" ca="1" si="301"/>
        <v>21.181688136382231</v>
      </c>
      <c r="H690" s="360">
        <f t="shared" ca="1" si="302"/>
        <v>-122.73604874008171</v>
      </c>
      <c r="I690" s="357">
        <f t="shared" ca="1" si="303"/>
        <v>124.55039772170409</v>
      </c>
      <c r="J690" s="359">
        <f t="shared" ca="1" si="304"/>
        <v>949.19909500049664</v>
      </c>
      <c r="K690" s="360">
        <f t="shared" ca="1" si="305"/>
        <v>378.30422614447986</v>
      </c>
      <c r="L690" s="357">
        <f t="shared" ca="1" si="290"/>
        <v>1021.8086951423616</v>
      </c>
      <c r="M690" s="359">
        <f t="shared" ca="1" si="306"/>
        <v>-1.3999004955445475</v>
      </c>
      <c r="N690" s="357">
        <f t="shared" ca="1" si="307"/>
        <v>-80.208390132975083</v>
      </c>
      <c r="O690" s="343"/>
      <c r="P690" s="363">
        <f t="shared" ca="1" si="308"/>
        <v>23</v>
      </c>
      <c r="Q690" s="357">
        <f t="shared" ca="1" si="309"/>
        <v>0</v>
      </c>
      <c r="R690" s="359">
        <f t="shared" ca="1" si="310"/>
        <v>0</v>
      </c>
      <c r="S690" s="360">
        <f t="shared" ca="1" si="311"/>
        <v>8.6519999999999992</v>
      </c>
      <c r="T690" s="357">
        <f t="shared" ca="1" si="291"/>
        <v>84.87612</v>
      </c>
      <c r="U690" s="364">
        <f t="shared" ca="1" si="292"/>
        <v>0</v>
      </c>
      <c r="V690" s="359">
        <f t="shared" ca="1" si="293"/>
        <v>1.1795180333079496</v>
      </c>
      <c r="W690" s="357">
        <f t="shared" ca="1" si="294"/>
        <v>41.416599685160129</v>
      </c>
      <c r="X690" s="343"/>
      <c r="Y690" s="367" t="str">
        <f t="shared" ca="1" si="312"/>
        <v/>
      </c>
      <c r="Z690" s="368" t="str">
        <f t="shared" ca="1" si="313"/>
        <v/>
      </c>
      <c r="AA690" s="369" t="str">
        <f t="shared" ca="1" si="314"/>
        <v/>
      </c>
      <c r="AB690" s="344"/>
      <c r="AC690" s="363" t="e">
        <f t="shared" ca="1" si="315"/>
        <v>#N/A</v>
      </c>
      <c r="AD690" s="376" t="e">
        <f t="shared" ca="1" si="316"/>
        <v>#N/A</v>
      </c>
      <c r="AE690" s="377" t="e">
        <f t="shared" ca="1" si="295"/>
        <v>#N/A</v>
      </c>
      <c r="AF690" s="344"/>
      <c r="AG690" s="359">
        <f t="shared" ca="1" si="317"/>
        <v>4.9214749204602448</v>
      </c>
      <c r="AH690" s="357">
        <f t="shared" ca="1" si="318"/>
        <v>-4.7433599605056624</v>
      </c>
    </row>
    <row r="691" spans="1:34" x14ac:dyDescent="0.25">
      <c r="A691" s="402">
        <f t="shared" ca="1" si="296"/>
        <v>0.1</v>
      </c>
      <c r="B691" s="357">
        <f t="shared" ca="1" si="297"/>
        <v>32.700000000000152</v>
      </c>
      <c r="C691" s="342"/>
      <c r="D691" s="359">
        <f t="shared" ca="1" si="298"/>
        <v>-0.81409180014188331</v>
      </c>
      <c r="E691" s="360">
        <f t="shared" ca="1" si="299"/>
        <v>-5.0927928436217256</v>
      </c>
      <c r="F691" s="357">
        <f t="shared" ca="1" si="300"/>
        <v>5.1574494090686835</v>
      </c>
      <c r="G691" s="359">
        <f t="shared" ca="1" si="301"/>
        <v>21.100278956368044</v>
      </c>
      <c r="H691" s="360">
        <f t="shared" ca="1" si="302"/>
        <v>-123.24532802444389</v>
      </c>
      <c r="I691" s="357">
        <f t="shared" ca="1" si="303"/>
        <v>125.03852467095621</v>
      </c>
      <c r="J691" s="359">
        <f t="shared" ca="1" si="304"/>
        <v>951.3131933551341</v>
      </c>
      <c r="K691" s="360">
        <f t="shared" ca="1" si="305"/>
        <v>366.00515730625358</v>
      </c>
      <c r="L691" s="357">
        <f t="shared" ca="1" si="290"/>
        <v>1019.2921892305062</v>
      </c>
      <c r="M691" s="359">
        <f t="shared" ca="1" si="306"/>
        <v>-1.4012347564042489</v>
      </c>
      <c r="N691" s="357">
        <f t="shared" ca="1" si="307"/>
        <v>-80.284837649005468</v>
      </c>
      <c r="O691" s="343"/>
      <c r="P691" s="363">
        <f t="shared" ca="1" si="308"/>
        <v>23</v>
      </c>
      <c r="Q691" s="357">
        <f t="shared" ca="1" si="309"/>
        <v>0</v>
      </c>
      <c r="R691" s="359">
        <f t="shared" ca="1" si="310"/>
        <v>0</v>
      </c>
      <c r="S691" s="360">
        <f t="shared" ca="1" si="311"/>
        <v>8.6519999999999992</v>
      </c>
      <c r="T691" s="357">
        <f t="shared" ca="1" si="291"/>
        <v>84.87612</v>
      </c>
      <c r="U691" s="364">
        <f t="shared" ca="1" si="292"/>
        <v>0</v>
      </c>
      <c r="V691" s="359">
        <f t="shared" ca="1" si="293"/>
        <v>1.1809701262729662</v>
      </c>
      <c r="W691" s="357">
        <f t="shared" ca="1" si="294"/>
        <v>41.793256401130598</v>
      </c>
      <c r="X691" s="343"/>
      <c r="Y691" s="367" t="str">
        <f t="shared" ca="1" si="312"/>
        <v/>
      </c>
      <c r="Z691" s="368" t="str">
        <f t="shared" ca="1" si="313"/>
        <v/>
      </c>
      <c r="AA691" s="369" t="str">
        <f t="shared" ca="1" si="314"/>
        <v/>
      </c>
      <c r="AB691" s="344"/>
      <c r="AC691" s="363" t="e">
        <f t="shared" ca="1" si="315"/>
        <v>#N/A</v>
      </c>
      <c r="AD691" s="376" t="e">
        <f t="shared" ca="1" si="316"/>
        <v>#N/A</v>
      </c>
      <c r="AE691" s="377" t="e">
        <f t="shared" ca="1" si="295"/>
        <v>#N/A</v>
      </c>
      <c r="AF691" s="344"/>
      <c r="AG691" s="359">
        <f t="shared" ca="1" si="317"/>
        <v>4.8801564922420546</v>
      </c>
      <c r="AH691" s="357">
        <f t="shared" ca="1" si="318"/>
        <v>-4.7869393995793033</v>
      </c>
    </row>
    <row r="692" spans="1:34" x14ac:dyDescent="0.25">
      <c r="A692" s="402">
        <f t="shared" ca="1" si="296"/>
        <v>0.1</v>
      </c>
      <c r="B692" s="357">
        <f t="shared" ca="1" si="297"/>
        <v>32.800000000000153</v>
      </c>
      <c r="C692" s="342"/>
      <c r="D692" s="359">
        <f t="shared" ca="1" si="298"/>
        <v>-0.81514347539714782</v>
      </c>
      <c r="E692" s="360">
        <f t="shared" ca="1" si="299"/>
        <v>-5.0488010973671411</v>
      </c>
      <c r="F692" s="357">
        <f t="shared" ca="1" si="300"/>
        <v>5.1141814013836262</v>
      </c>
      <c r="G692" s="359">
        <f t="shared" ca="1" si="301"/>
        <v>21.018764608828327</v>
      </c>
      <c r="H692" s="360">
        <f t="shared" ca="1" si="302"/>
        <v>-123.75020813418061</v>
      </c>
      <c r="I692" s="357">
        <f t="shared" ca="1" si="303"/>
        <v>125.52251781626417</v>
      </c>
      <c r="J692" s="359">
        <f t="shared" ca="1" si="304"/>
        <v>953.41914553339393</v>
      </c>
      <c r="K692" s="360">
        <f t="shared" ca="1" si="305"/>
        <v>353.65538049832236</v>
      </c>
      <c r="L692" s="357">
        <f t="shared" ca="1" si="290"/>
        <v>1016.8973376034771</v>
      </c>
      <c r="M692" s="359">
        <f t="shared" ca="1" si="306"/>
        <v>-1.4025535956046054</v>
      </c>
      <c r="N692" s="357">
        <f t="shared" ca="1" si="307"/>
        <v>-80.360401569042295</v>
      </c>
      <c r="O692" s="343"/>
      <c r="P692" s="363">
        <f t="shared" ca="1" si="308"/>
        <v>23</v>
      </c>
      <c r="Q692" s="357">
        <f t="shared" ca="1" si="309"/>
        <v>0</v>
      </c>
      <c r="R692" s="359">
        <f t="shared" ca="1" si="310"/>
        <v>0</v>
      </c>
      <c r="S692" s="360">
        <f t="shared" ca="1" si="311"/>
        <v>8.6519999999999992</v>
      </c>
      <c r="T692" s="357">
        <f t="shared" ca="1" si="291"/>
        <v>84.87612</v>
      </c>
      <c r="U692" s="364">
        <f t="shared" ca="1" si="292"/>
        <v>0</v>
      </c>
      <c r="V692" s="359">
        <f t="shared" ca="1" si="293"/>
        <v>1.1824299718638709</v>
      </c>
      <c r="W692" s="357">
        <f t="shared" ca="1" si="294"/>
        <v>42.169488332894311</v>
      </c>
      <c r="X692" s="343"/>
      <c r="Y692" s="367" t="str">
        <f t="shared" ca="1" si="312"/>
        <v/>
      </c>
      <c r="Z692" s="368" t="str">
        <f t="shared" ca="1" si="313"/>
        <v/>
      </c>
      <c r="AA692" s="369" t="str">
        <f t="shared" ca="1" si="314"/>
        <v/>
      </c>
      <c r="AB692" s="344"/>
      <c r="AC692" s="363" t="e">
        <f t="shared" ca="1" si="315"/>
        <v>#N/A</v>
      </c>
      <c r="AD692" s="376" t="e">
        <f t="shared" ca="1" si="316"/>
        <v>#N/A</v>
      </c>
      <c r="AE692" s="377" t="e">
        <f t="shared" ca="1" si="295"/>
        <v>#N/A</v>
      </c>
      <c r="AF692" s="344"/>
      <c r="AG692" s="359">
        <f t="shared" ca="1" si="317"/>
        <v>4.8388398235426466</v>
      </c>
      <c r="AH692" s="357">
        <f t="shared" ca="1" si="318"/>
        <v>-4.8304734629138464</v>
      </c>
    </row>
    <row r="693" spans="1:34" x14ac:dyDescent="0.25">
      <c r="A693" s="402">
        <f t="shared" ca="1" si="296"/>
        <v>0.1</v>
      </c>
      <c r="B693" s="357">
        <f t="shared" ca="1" si="297"/>
        <v>32.900000000000155</v>
      </c>
      <c r="C693" s="342"/>
      <c r="D693" s="359">
        <f t="shared" ca="1" si="298"/>
        <v>-0.81614507681339088</v>
      </c>
      <c r="E693" s="360">
        <f t="shared" ca="1" si="299"/>
        <v>-5.0048592125665401</v>
      </c>
      <c r="F693" s="357">
        <f t="shared" ca="1" si="300"/>
        <v>5.0709672178016394</v>
      </c>
      <c r="G693" s="359">
        <f t="shared" ca="1" si="301"/>
        <v>20.937150101146987</v>
      </c>
      <c r="H693" s="360">
        <f t="shared" ca="1" si="302"/>
        <v>-124.25069405543726</v>
      </c>
      <c r="I693" s="357">
        <f t="shared" ca="1" si="303"/>
        <v>126.00237786492694</v>
      </c>
      <c r="J693" s="359">
        <f t="shared" ca="1" si="304"/>
        <v>955.51694126889265</v>
      </c>
      <c r="K693" s="360">
        <f t="shared" ca="1" si="305"/>
        <v>341.25533538884144</v>
      </c>
      <c r="L693" s="357">
        <f t="shared" ca="1" si="290"/>
        <v>1014.6269407931228</v>
      </c>
      <c r="M693" s="359">
        <f t="shared" ca="1" si="306"/>
        <v>-1.4038572904063307</v>
      </c>
      <c r="N693" s="357">
        <f t="shared" ca="1" si="307"/>
        <v>-80.435097778954301</v>
      </c>
      <c r="O693" s="343"/>
      <c r="P693" s="363">
        <f t="shared" ca="1" si="308"/>
        <v>23</v>
      </c>
      <c r="Q693" s="357">
        <f t="shared" ca="1" si="309"/>
        <v>0</v>
      </c>
      <c r="R693" s="359">
        <f t="shared" ca="1" si="310"/>
        <v>0</v>
      </c>
      <c r="S693" s="360">
        <f t="shared" ca="1" si="311"/>
        <v>8.6519999999999992</v>
      </c>
      <c r="T693" s="357">
        <f t="shared" ca="1" si="291"/>
        <v>84.87612</v>
      </c>
      <c r="U693" s="364">
        <f t="shared" ca="1" si="292"/>
        <v>0</v>
      </c>
      <c r="V693" s="359">
        <f t="shared" ca="1" si="293"/>
        <v>1.1838975430514316</v>
      </c>
      <c r="W693" s="357">
        <f t="shared" ca="1" si="294"/>
        <v>42.545263638428352</v>
      </c>
      <c r="X693" s="343"/>
      <c r="Y693" s="367" t="str">
        <f t="shared" ca="1" si="312"/>
        <v/>
      </c>
      <c r="Z693" s="368" t="str">
        <f t="shared" ca="1" si="313"/>
        <v/>
      </c>
      <c r="AA693" s="369" t="str">
        <f t="shared" ca="1" si="314"/>
        <v/>
      </c>
      <c r="AB693" s="344"/>
      <c r="AC693" s="363" t="e">
        <f t="shared" ca="1" si="315"/>
        <v>#N/A</v>
      </c>
      <c r="AD693" s="376" t="e">
        <f t="shared" ca="1" si="316"/>
        <v>#N/A</v>
      </c>
      <c r="AE693" s="377" t="e">
        <f t="shared" ca="1" si="295"/>
        <v>#N/A</v>
      </c>
      <c r="AF693" s="344"/>
      <c r="AG693" s="359">
        <f t="shared" ca="1" si="317"/>
        <v>4.7975297058864292</v>
      </c>
      <c r="AH693" s="357">
        <f t="shared" ca="1" si="318"/>
        <v>-4.8739584295994351</v>
      </c>
    </row>
    <row r="694" spans="1:34" x14ac:dyDescent="0.25">
      <c r="A694" s="402">
        <f t="shared" ca="1" si="296"/>
        <v>0.1</v>
      </c>
      <c r="B694" s="357">
        <f t="shared" ca="1" si="297"/>
        <v>33.000000000000156</v>
      </c>
      <c r="C694" s="342"/>
      <c r="D694" s="359">
        <f t="shared" ca="1" si="298"/>
        <v>-0.81709684568981988</v>
      </c>
      <c r="E694" s="360">
        <f t="shared" ca="1" si="299"/>
        <v>-4.9609708963730075</v>
      </c>
      <c r="F694" s="357">
        <f t="shared" ca="1" si="300"/>
        <v>5.0278106060089671</v>
      </c>
      <c r="G694" s="359">
        <f t="shared" ca="1" si="301"/>
        <v>20.855440416578006</v>
      </c>
      <c r="H694" s="360">
        <f t="shared" ca="1" si="302"/>
        <v>-124.74679114507457</v>
      </c>
      <c r="I694" s="357">
        <f t="shared" ca="1" si="303"/>
        <v>126.47810599452495</v>
      </c>
      <c r="J694" s="359">
        <f t="shared" ca="1" si="304"/>
        <v>957.60657079477892</v>
      </c>
      <c r="K694" s="360">
        <f t="shared" ca="1" si="305"/>
        <v>328.80546112881586</v>
      </c>
      <c r="L694" s="357">
        <f t="shared" ca="1" si="290"/>
        <v>1012.4837656463777</v>
      </c>
      <c r="M694" s="359">
        <f t="shared" ca="1" si="306"/>
        <v>-1.4051461113941239</v>
      </c>
      <c r="N694" s="357">
        <f t="shared" ca="1" si="307"/>
        <v>-80.508941782102738</v>
      </c>
      <c r="O694" s="343"/>
      <c r="P694" s="363">
        <f t="shared" ca="1" si="308"/>
        <v>23</v>
      </c>
      <c r="Q694" s="357">
        <f t="shared" ca="1" si="309"/>
        <v>0</v>
      </c>
      <c r="R694" s="359">
        <f t="shared" ca="1" si="310"/>
        <v>0</v>
      </c>
      <c r="S694" s="360">
        <f t="shared" ca="1" si="311"/>
        <v>8.6519999999999992</v>
      </c>
      <c r="T694" s="357">
        <f t="shared" ca="1" si="291"/>
        <v>84.87612</v>
      </c>
      <c r="U694" s="364">
        <f t="shared" ca="1" si="292"/>
        <v>0</v>
      </c>
      <c r="V694" s="359">
        <f t="shared" ca="1" si="293"/>
        <v>1.1853728127899126</v>
      </c>
      <c r="W694" s="357">
        <f t="shared" ca="1" si="294"/>
        <v>42.92055083015449</v>
      </c>
      <c r="X694" s="343"/>
      <c r="Y694" s="367" t="str">
        <f t="shared" ca="1" si="312"/>
        <v/>
      </c>
      <c r="Z694" s="368" t="str">
        <f t="shared" ca="1" si="313"/>
        <v/>
      </c>
      <c r="AA694" s="369" t="str">
        <f t="shared" ca="1" si="314"/>
        <v/>
      </c>
      <c r="AB694" s="344"/>
      <c r="AC694" s="363">
        <f t="shared" ca="1" si="315"/>
        <v>33.000000000000156</v>
      </c>
      <c r="AD694" s="376">
        <f t="shared" ca="1" si="316"/>
        <v>957.60657079477892</v>
      </c>
      <c r="AE694" s="377" t="e">
        <f t="shared" ca="1" si="295"/>
        <v>#N/A</v>
      </c>
      <c r="AF694" s="344"/>
      <c r="AG694" s="359">
        <f t="shared" ca="1" si="317"/>
        <v>4.7562308578035566</v>
      </c>
      <c r="AH694" s="357">
        <f t="shared" ca="1" si="318"/>
        <v>-4.9173906193282892</v>
      </c>
    </row>
    <row r="695" spans="1:34" x14ac:dyDescent="0.25">
      <c r="A695" s="402">
        <f t="shared" ca="1" si="296"/>
        <v>0.1</v>
      </c>
      <c r="B695" s="357">
        <f t="shared" ca="1" si="297"/>
        <v>33.100000000000158</v>
      </c>
      <c r="C695" s="342"/>
      <c r="D695" s="359">
        <f t="shared" ca="1" si="298"/>
        <v>-0.81799902924886658</v>
      </c>
      <c r="E695" s="360">
        <f t="shared" ca="1" si="299"/>
        <v>-4.9171398148241341</v>
      </c>
      <c r="F695" s="357">
        <f t="shared" ca="1" si="300"/>
        <v>4.9847152747555006</v>
      </c>
      <c r="G695" s="359">
        <f t="shared" ca="1" si="301"/>
        <v>20.77364051365312</v>
      </c>
      <c r="H695" s="360">
        <f t="shared" ca="1" si="302"/>
        <v>-125.23850512655699</v>
      </c>
      <c r="I695" s="357">
        <f t="shared" ca="1" si="303"/>
        <v>126.94970384575591</v>
      </c>
      <c r="J695" s="359">
        <f t="shared" ca="1" si="304"/>
        <v>959.68802484129048</v>
      </c>
      <c r="K695" s="360">
        <f t="shared" ca="1" si="305"/>
        <v>316.30619631523427</v>
      </c>
      <c r="L695" s="357">
        <f t="shared" ca="1" si="290"/>
        <v>1010.4705413079537</v>
      </c>
      <c r="M695" s="359">
        <f t="shared" ca="1" si="306"/>
        <v>-1.4064203226728493</v>
      </c>
      <c r="N695" s="357">
        <f t="shared" ca="1" si="307"/>
        <v>-80.581948710581671</v>
      </c>
      <c r="O695" s="343"/>
      <c r="P695" s="363">
        <f t="shared" ca="1" si="308"/>
        <v>23</v>
      </c>
      <c r="Q695" s="357">
        <f t="shared" ca="1" si="309"/>
        <v>0</v>
      </c>
      <c r="R695" s="359">
        <f t="shared" ca="1" si="310"/>
        <v>0</v>
      </c>
      <c r="S695" s="360">
        <f t="shared" ca="1" si="311"/>
        <v>8.6519999999999992</v>
      </c>
      <c r="T695" s="357">
        <f t="shared" ca="1" si="291"/>
        <v>84.87612</v>
      </c>
      <c r="U695" s="364">
        <f t="shared" ca="1" si="292"/>
        <v>0</v>
      </c>
      <c r="V695" s="359">
        <f t="shared" ca="1" si="293"/>
        <v>1.1868557540192579</v>
      </c>
      <c r="W695" s="357">
        <f t="shared" ca="1" si="294"/>
        <v>43.295318777963097</v>
      </c>
      <c r="X695" s="343"/>
      <c r="Y695" s="367" t="str">
        <f t="shared" ca="1" si="312"/>
        <v/>
      </c>
      <c r="Z695" s="368" t="str">
        <f t="shared" ca="1" si="313"/>
        <v/>
      </c>
      <c r="AA695" s="369" t="str">
        <f t="shared" ca="1" si="314"/>
        <v/>
      </c>
      <c r="AB695" s="344"/>
      <c r="AC695" s="363" t="e">
        <f t="shared" ca="1" si="315"/>
        <v>#N/A</v>
      </c>
      <c r="AD695" s="376" t="e">
        <f t="shared" ca="1" si="316"/>
        <v>#N/A</v>
      </c>
      <c r="AE695" s="377" t="e">
        <f t="shared" ca="1" si="295"/>
        <v>#N/A</v>
      </c>
      <c r="AF695" s="344"/>
      <c r="AG695" s="359">
        <f t="shared" ca="1" si="317"/>
        <v>4.714947925623532</v>
      </c>
      <c r="AH695" s="357">
        <f t="shared" ca="1" si="318"/>
        <v>-4.9607663927594192</v>
      </c>
    </row>
    <row r="696" spans="1:34" x14ac:dyDescent="0.25">
      <c r="A696" s="402">
        <f t="shared" ca="1" si="296"/>
        <v>0.1</v>
      </c>
      <c r="B696" s="357">
        <f t="shared" ca="1" si="297"/>
        <v>33.200000000000159</v>
      </c>
      <c r="C696" s="342"/>
      <c r="D696" s="359">
        <f t="shared" ca="1" si="298"/>
        <v>-0.81885188050536428</v>
      </c>
      <c r="E696" s="360">
        <f t="shared" ca="1" si="299"/>
        <v>-4.8733695924813203</v>
      </c>
      <c r="F696" s="357">
        <f t="shared" ca="1" si="300"/>
        <v>4.9416848935488309</v>
      </c>
      <c r="G696" s="359">
        <f t="shared" ca="1" si="301"/>
        <v>20.691755325602585</v>
      </c>
      <c r="H696" s="360">
        <f t="shared" ca="1" si="302"/>
        <v>-125.72584208580511</v>
      </c>
      <c r="I696" s="357">
        <f t="shared" ca="1" si="303"/>
        <v>127.4171735153445</v>
      </c>
      <c r="J696" s="359">
        <f t="shared" ca="1" si="304"/>
        <v>961.76129463325321</v>
      </c>
      <c r="K696" s="360">
        <f t="shared" ca="1" si="305"/>
        <v>303.75797895461619</v>
      </c>
      <c r="L696" s="357">
        <f t="shared" ca="1" si="290"/>
        <v>1008.5899551518567</v>
      </c>
      <c r="M696" s="359">
        <f t="shared" ca="1" si="306"/>
        <v>-1.407680182056944</v>
      </c>
      <c r="N696" s="357">
        <f t="shared" ca="1" si="307"/>
        <v>-80.654133336070245</v>
      </c>
      <c r="O696" s="343"/>
      <c r="P696" s="363">
        <f t="shared" ca="1" si="308"/>
        <v>23</v>
      </c>
      <c r="Q696" s="357">
        <f t="shared" ca="1" si="309"/>
        <v>0</v>
      </c>
      <c r="R696" s="359">
        <f t="shared" ca="1" si="310"/>
        <v>0</v>
      </c>
      <c r="S696" s="360">
        <f t="shared" ca="1" si="311"/>
        <v>8.6519999999999992</v>
      </c>
      <c r="T696" s="357">
        <f t="shared" ca="1" si="291"/>
        <v>84.87612</v>
      </c>
      <c r="U696" s="364">
        <f t="shared" ca="1" si="292"/>
        <v>0</v>
      </c>
      <c r="V696" s="359">
        <f t="shared" ca="1" si="293"/>
        <v>1.188346339667258</v>
      </c>
      <c r="W696" s="357">
        <f t="shared" ca="1" si="294"/>
        <v>43.66953671210603</v>
      </c>
      <c r="X696" s="343"/>
      <c r="Y696" s="367" t="str">
        <f t="shared" ca="1" si="312"/>
        <v/>
      </c>
      <c r="Z696" s="368" t="str">
        <f t="shared" ca="1" si="313"/>
        <v/>
      </c>
      <c r="AA696" s="369" t="str">
        <f t="shared" ca="1" si="314"/>
        <v/>
      </c>
      <c r="AB696" s="344"/>
      <c r="AC696" s="363" t="e">
        <f t="shared" ca="1" si="315"/>
        <v>#N/A</v>
      </c>
      <c r="AD696" s="376" t="e">
        <f t="shared" ca="1" si="316"/>
        <v>#N/A</v>
      </c>
      <c r="AE696" s="377" t="e">
        <f t="shared" ca="1" si="295"/>
        <v>#N/A</v>
      </c>
      <c r="AF696" s="344"/>
      <c r="AG696" s="359">
        <f t="shared" ca="1" si="317"/>
        <v>4.6736854842364988</v>
      </c>
      <c r="AH696" s="357">
        <f t="shared" ca="1" si="318"/>
        <v>-5.0040821518681344</v>
      </c>
    </row>
    <row r="697" spans="1:34" x14ac:dyDescent="0.25">
      <c r="A697" s="402">
        <f t="shared" ca="1" si="296"/>
        <v>0.1</v>
      </c>
      <c r="B697" s="357">
        <f t="shared" ca="1" si="297"/>
        <v>33.300000000000161</v>
      </c>
      <c r="C697" s="342"/>
      <c r="D697" s="359">
        <f t="shared" ca="1" si="298"/>
        <v>-0.81965565813635433</v>
      </c>
      <c r="E697" s="360">
        <f t="shared" ca="1" si="299"/>
        <v>-4.8296638120846858</v>
      </c>
      <c r="F697" s="357">
        <f t="shared" ca="1" si="300"/>
        <v>4.8987230923655316</v>
      </c>
      <c r="G697" s="359">
        <f t="shared" ca="1" si="301"/>
        <v>20.609789759788949</v>
      </c>
      <c r="H697" s="360">
        <f t="shared" ca="1" si="302"/>
        <v>-126.20880846701358</v>
      </c>
      <c r="I697" s="357">
        <f t="shared" ca="1" si="303"/>
        <v>127.88051754902317</v>
      </c>
      <c r="J697" s="359">
        <f t="shared" ca="1" si="304"/>
        <v>963.82637188752278</v>
      </c>
      <c r="K697" s="360">
        <f t="shared" ca="1" si="305"/>
        <v>291.16124642697525</v>
      </c>
      <c r="L697" s="357">
        <f t="shared" ca="1" si="290"/>
        <v>1006.8446486756411</v>
      </c>
      <c r="M697" s="359">
        <f t="shared" ca="1" si="306"/>
        <v>-1.4089259412533219</v>
      </c>
      <c r="N697" s="357">
        <f t="shared" ca="1" si="307"/>
        <v>-80.725510080312304</v>
      </c>
      <c r="O697" s="343"/>
      <c r="P697" s="363">
        <f t="shared" ca="1" si="308"/>
        <v>23</v>
      </c>
      <c r="Q697" s="357">
        <f t="shared" ca="1" si="309"/>
        <v>0</v>
      </c>
      <c r="R697" s="359">
        <f t="shared" ca="1" si="310"/>
        <v>0</v>
      </c>
      <c r="S697" s="360">
        <f t="shared" ca="1" si="311"/>
        <v>8.6519999999999992</v>
      </c>
      <c r="T697" s="357">
        <f t="shared" ca="1" si="291"/>
        <v>84.87612</v>
      </c>
      <c r="U697" s="364">
        <f t="shared" ca="1" si="292"/>
        <v>0</v>
      </c>
      <c r="V697" s="359">
        <f t="shared" ca="1" si="293"/>
        <v>1.1898445426517077</v>
      </c>
      <c r="W697" s="357">
        <f t="shared" ca="1" si="294"/>
        <v>44.043174225958737</v>
      </c>
      <c r="X697" s="343"/>
      <c r="Y697" s="367" t="str">
        <f t="shared" ca="1" si="312"/>
        <v/>
      </c>
      <c r="Z697" s="368" t="str">
        <f t="shared" ca="1" si="313"/>
        <v/>
      </c>
      <c r="AA697" s="369" t="str">
        <f t="shared" ca="1" si="314"/>
        <v/>
      </c>
      <c r="AB697" s="344"/>
      <c r="AC697" s="363" t="e">
        <f t="shared" ca="1" si="315"/>
        <v>#N/A</v>
      </c>
      <c r="AD697" s="376" t="e">
        <f t="shared" ca="1" si="316"/>
        <v>#N/A</v>
      </c>
      <c r="AE697" s="377" t="e">
        <f t="shared" ca="1" si="295"/>
        <v>#N/A</v>
      </c>
      <c r="AF697" s="344"/>
      <c r="AG697" s="359">
        <f t="shared" ca="1" si="317"/>
        <v>4.6324480378243598</v>
      </c>
      <c r="AH697" s="357">
        <f t="shared" ca="1" si="318"/>
        <v>-5.0473343402804014</v>
      </c>
    </row>
    <row r="698" spans="1:34" x14ac:dyDescent="0.25">
      <c r="A698" s="402">
        <f t="shared" ca="1" si="296"/>
        <v>0.1</v>
      </c>
      <c r="B698" s="357">
        <f t="shared" ca="1" si="297"/>
        <v>33.400000000000162</v>
      </c>
      <c r="C698" s="342"/>
      <c r="D698" s="359">
        <f t="shared" ca="1" si="298"/>
        <v>-0.82041062635152118</v>
      </c>
      <c r="E698" s="360">
        <f t="shared" ca="1" si="299"/>
        <v>-4.786026014223542</v>
      </c>
      <c r="F698" s="357">
        <f t="shared" ca="1" si="300"/>
        <v>4.8558334613797225</v>
      </c>
      <c r="G698" s="359">
        <f t="shared" ca="1" si="301"/>
        <v>20.527748697153797</v>
      </c>
      <c r="H698" s="360">
        <f t="shared" ca="1" si="302"/>
        <v>-126.68741106843594</v>
      </c>
      <c r="I698" s="357">
        <f t="shared" ca="1" si="303"/>
        <v>128.33973893458082</v>
      </c>
      <c r="J698" s="359">
        <f t="shared" ca="1" si="304"/>
        <v>965.88324881036988</v>
      </c>
      <c r="K698" s="360">
        <f t="shared" ca="1" si="305"/>
        <v>278.51643545020278</v>
      </c>
      <c r="L698" s="357">
        <f t="shared" ca="1" si="290"/>
        <v>1005.2372133722279</v>
      </c>
      <c r="M698" s="359">
        <f t="shared" ca="1" si="306"/>
        <v>-1.4101578460380291</v>
      </c>
      <c r="N698" s="357">
        <f t="shared" ca="1" si="307"/>
        <v>-80.796093025238008</v>
      </c>
      <c r="O698" s="343"/>
      <c r="P698" s="363">
        <f t="shared" ca="1" si="308"/>
        <v>23</v>
      </c>
      <c r="Q698" s="357">
        <f t="shared" ca="1" si="309"/>
        <v>0</v>
      </c>
      <c r="R698" s="359">
        <f t="shared" ca="1" si="310"/>
        <v>0</v>
      </c>
      <c r="S698" s="360">
        <f t="shared" ca="1" si="311"/>
        <v>8.6519999999999992</v>
      </c>
      <c r="T698" s="357">
        <f t="shared" ca="1" si="291"/>
        <v>84.87612</v>
      </c>
      <c r="U698" s="364">
        <f t="shared" ca="1" si="292"/>
        <v>0</v>
      </c>
      <c r="V698" s="359">
        <f t="shared" ca="1" si="293"/>
        <v>1.1913503358825548</v>
      </c>
      <c r="W698" s="357">
        <f t="shared" ca="1" si="294"/>
        <v>44.416201278652181</v>
      </c>
      <c r="X698" s="343"/>
      <c r="Y698" s="367" t="str">
        <f t="shared" ca="1" si="312"/>
        <v/>
      </c>
      <c r="Z698" s="368" t="str">
        <f t="shared" ca="1" si="313"/>
        <v/>
      </c>
      <c r="AA698" s="369" t="str">
        <f t="shared" ca="1" si="314"/>
        <v/>
      </c>
      <c r="AB698" s="344"/>
      <c r="AC698" s="363" t="e">
        <f t="shared" ca="1" si="315"/>
        <v>#N/A</v>
      </c>
      <c r="AD698" s="376" t="e">
        <f t="shared" ca="1" si="316"/>
        <v>#N/A</v>
      </c>
      <c r="AE698" s="377" t="e">
        <f t="shared" ca="1" si="295"/>
        <v>#N/A</v>
      </c>
      <c r="AF698" s="344"/>
      <c r="AG698" s="359">
        <f t="shared" ca="1" si="317"/>
        <v>4.591240020563764</v>
      </c>
      <c r="AH698" s="357">
        <f t="shared" ca="1" si="318"/>
        <v>-5.0905194435920871</v>
      </c>
    </row>
    <row r="699" spans="1:34" x14ac:dyDescent="0.25">
      <c r="A699" s="402">
        <f t="shared" ca="1" si="296"/>
        <v>0.1</v>
      </c>
      <c r="B699" s="357">
        <f t="shared" ca="1" si="297"/>
        <v>33.500000000000163</v>
      </c>
      <c r="C699" s="342"/>
      <c r="D699" s="359">
        <f t="shared" ca="1" si="298"/>
        <v>-0.82111705476426511</v>
      </c>
      <c r="E699" s="360">
        <f t="shared" ca="1" si="299"/>
        <v>-4.7424596970223485</v>
      </c>
      <c r="F699" s="357">
        <f t="shared" ca="1" si="300"/>
        <v>4.8130195507088942</v>
      </c>
      <c r="G699" s="359">
        <f t="shared" ca="1" si="301"/>
        <v>20.445636991677372</v>
      </c>
      <c r="H699" s="360">
        <f t="shared" ca="1" si="302"/>
        <v>-127.16165703813817</v>
      </c>
      <c r="I699" s="357">
        <f t="shared" ca="1" si="303"/>
        <v>128.79484109497756</v>
      </c>
      <c r="J699" s="359">
        <f t="shared" ca="1" si="304"/>
        <v>967.93191809481141</v>
      </c>
      <c r="K699" s="360">
        <f t="shared" ca="1" si="305"/>
        <v>265.82398204487407</v>
      </c>
      <c r="L699" s="357">
        <f t="shared" ca="1" si="290"/>
        <v>1003.7701865949667</v>
      </c>
      <c r="M699" s="359">
        <f t="shared" ca="1" si="306"/>
        <v>-1.4113761364268922</v>
      </c>
      <c r="N699" s="357">
        <f t="shared" ca="1" si="307"/>
        <v>-80.865895922741217</v>
      </c>
      <c r="O699" s="343"/>
      <c r="P699" s="363">
        <f t="shared" ca="1" si="308"/>
        <v>23</v>
      </c>
      <c r="Q699" s="357">
        <f t="shared" ca="1" si="309"/>
        <v>0</v>
      </c>
      <c r="R699" s="359">
        <f t="shared" ca="1" si="310"/>
        <v>0</v>
      </c>
      <c r="S699" s="360">
        <f t="shared" ca="1" si="311"/>
        <v>8.6519999999999992</v>
      </c>
      <c r="T699" s="357">
        <f t="shared" ca="1" si="291"/>
        <v>84.87612</v>
      </c>
      <c r="U699" s="364">
        <f t="shared" ca="1" si="292"/>
        <v>0</v>
      </c>
      <c r="V699" s="359">
        <f t="shared" ca="1" si="293"/>
        <v>1.1928636922640328</v>
      </c>
      <c r="W699" s="357">
        <f t="shared" ca="1" si="294"/>
        <v>44.788588197575109</v>
      </c>
      <c r="X699" s="343"/>
      <c r="Y699" s="367" t="str">
        <f t="shared" ca="1" si="312"/>
        <v/>
      </c>
      <c r="Z699" s="368" t="str">
        <f t="shared" ca="1" si="313"/>
        <v/>
      </c>
      <c r="AA699" s="369" t="str">
        <f t="shared" ca="1" si="314"/>
        <v/>
      </c>
      <c r="AB699" s="344"/>
      <c r="AC699" s="363" t="e">
        <f t="shared" ca="1" si="315"/>
        <v>#N/A</v>
      </c>
      <c r="AD699" s="376" t="e">
        <f t="shared" ca="1" si="316"/>
        <v>#N/A</v>
      </c>
      <c r="AE699" s="377" t="e">
        <f t="shared" ca="1" si="295"/>
        <v>#N/A</v>
      </c>
      <c r="AF699" s="344"/>
      <c r="AG699" s="359">
        <f t="shared" ca="1" si="317"/>
        <v>4.5500657973028442</v>
      </c>
      <c r="AH699" s="357">
        <f t="shared" ca="1" si="318"/>
        <v>-5.1336339896731609</v>
      </c>
    </row>
    <row r="700" spans="1:34" x14ac:dyDescent="0.25">
      <c r="A700" s="402">
        <f t="shared" ca="1" si="296"/>
        <v>0.1</v>
      </c>
      <c r="B700" s="357">
        <f t="shared" ca="1" si="297"/>
        <v>33.600000000000165</v>
      </c>
      <c r="C700" s="342"/>
      <c r="D700" s="359">
        <f t="shared" ca="1" si="298"/>
        <v>-0.82177521826342292</v>
      </c>
      <c r="E700" s="360">
        <f t="shared" ca="1" si="299"/>
        <v>-4.6989683158420714</v>
      </c>
      <c r="F700" s="357">
        <f t="shared" ca="1" si="300"/>
        <v>4.7702848701769973</v>
      </c>
      <c r="G700" s="359">
        <f t="shared" ca="1" si="301"/>
        <v>20.36345946985103</v>
      </c>
      <c r="H700" s="360">
        <f t="shared" ca="1" si="302"/>
        <v>-127.63155386972238</v>
      </c>
      <c r="I700" s="357">
        <f t="shared" ca="1" si="303"/>
        <v>129.24582788152239</v>
      </c>
      <c r="J700" s="359">
        <f t="shared" ca="1" si="304"/>
        <v>969.97237291788781</v>
      </c>
      <c r="K700" s="360">
        <f t="shared" ca="1" si="305"/>
        <v>253.08432149948104</v>
      </c>
      <c r="L700" s="357">
        <f t="shared" ca="1" si="290"/>
        <v>1002.4460474323846</v>
      </c>
      <c r="M700" s="359">
        <f t="shared" ca="1" si="306"/>
        <v>-1.412581046840399</v>
      </c>
      <c r="N700" s="357">
        <f t="shared" ca="1" si="307"/>
        <v>-80.934932204126511</v>
      </c>
      <c r="O700" s="343"/>
      <c r="P700" s="363">
        <f t="shared" ca="1" si="308"/>
        <v>23</v>
      </c>
      <c r="Q700" s="357">
        <f t="shared" ca="1" si="309"/>
        <v>0</v>
      </c>
      <c r="R700" s="359">
        <f t="shared" ca="1" si="310"/>
        <v>0</v>
      </c>
      <c r="S700" s="360">
        <f t="shared" ca="1" si="311"/>
        <v>8.6519999999999992</v>
      </c>
      <c r="T700" s="357">
        <f t="shared" ca="1" si="291"/>
        <v>84.87612</v>
      </c>
      <c r="U700" s="364">
        <f t="shared" ca="1" si="292"/>
        <v>0</v>
      </c>
      <c r="V700" s="359">
        <f t="shared" ca="1" si="293"/>
        <v>1.1943845846967853</v>
      </c>
      <c r="W700" s="357">
        <f t="shared" ca="1" si="294"/>
        <v>45.160305680747179</v>
      </c>
      <c r="X700" s="343"/>
      <c r="Y700" s="367" t="str">
        <f t="shared" ca="1" si="312"/>
        <v/>
      </c>
      <c r="Z700" s="368" t="str">
        <f t="shared" ca="1" si="313"/>
        <v/>
      </c>
      <c r="AA700" s="369" t="str">
        <f t="shared" ca="1" si="314"/>
        <v/>
      </c>
      <c r="AB700" s="344"/>
      <c r="AC700" s="363" t="e">
        <f t="shared" ca="1" si="315"/>
        <v>#N/A</v>
      </c>
      <c r="AD700" s="376" t="e">
        <f t="shared" ca="1" si="316"/>
        <v>#N/A</v>
      </c>
      <c r="AE700" s="377" t="e">
        <f t="shared" ca="1" si="295"/>
        <v>#N/A</v>
      </c>
      <c r="AF700" s="344"/>
      <c r="AG700" s="359">
        <f t="shared" ca="1" si="317"/>
        <v>4.5089296642135661</v>
      </c>
      <c r="AH700" s="357">
        <f t="shared" ca="1" si="318"/>
        <v>-5.1766745489569015</v>
      </c>
    </row>
    <row r="701" spans="1:34" x14ac:dyDescent="0.25">
      <c r="A701" s="402">
        <f t="shared" ca="1" si="296"/>
        <v>0.1</v>
      </c>
      <c r="B701" s="357">
        <f t="shared" ca="1" si="297"/>
        <v>33.700000000000166</v>
      </c>
      <c r="C701" s="342"/>
      <c r="D701" s="359">
        <f t="shared" ca="1" si="298"/>
        <v>-0.82238539688562873</v>
      </c>
      <c r="E701" s="360">
        <f t="shared" ca="1" si="299"/>
        <v>-4.6555552829968621</v>
      </c>
      <c r="F701" s="357">
        <f t="shared" ca="1" si="300"/>
        <v>4.7276328890947878</v>
      </c>
      <c r="G701" s="359">
        <f t="shared" ca="1" si="301"/>
        <v>20.281220930162466</v>
      </c>
      <c r="H701" s="360">
        <f t="shared" ca="1" si="302"/>
        <v>-128.09710939802207</v>
      </c>
      <c r="I701" s="357">
        <f t="shared" ca="1" si="303"/>
        <v>129.6927035671124</v>
      </c>
      <c r="J701" s="359">
        <f t="shared" ca="1" si="304"/>
        <v>972.00460693788852</v>
      </c>
      <c r="K701" s="360">
        <f t="shared" ca="1" si="305"/>
        <v>240.29788833609382</v>
      </c>
      <c r="L701" s="357">
        <f t="shared" ca="1" si="290"/>
        <v>1001.2672126097333</v>
      </c>
      <c r="M701" s="359">
        <f t="shared" ca="1" si="306"/>
        <v>-1.4137728062630268</v>
      </c>
      <c r="N701" s="357">
        <f t="shared" ca="1" si="307"/>
        <v>-81.003214989238032</v>
      </c>
      <c r="O701" s="343"/>
      <c r="P701" s="363">
        <f t="shared" ca="1" si="308"/>
        <v>23</v>
      </c>
      <c r="Q701" s="357">
        <f t="shared" ca="1" si="309"/>
        <v>0</v>
      </c>
      <c r="R701" s="359">
        <f t="shared" ca="1" si="310"/>
        <v>0</v>
      </c>
      <c r="S701" s="360">
        <f t="shared" ca="1" si="311"/>
        <v>8.6519999999999992</v>
      </c>
      <c r="T701" s="357">
        <f t="shared" ca="1" si="291"/>
        <v>84.87612</v>
      </c>
      <c r="U701" s="364">
        <f t="shared" ca="1" si="292"/>
        <v>0</v>
      </c>
      <c r="V701" s="359">
        <f t="shared" ca="1" si="293"/>
        <v>1.195912986079978</v>
      </c>
      <c r="W701" s="357">
        <f t="shared" ca="1" si="294"/>
        <v>45.531324799063874</v>
      </c>
      <c r="X701" s="343"/>
      <c r="Y701" s="367" t="str">
        <f t="shared" ca="1" si="312"/>
        <v/>
      </c>
      <c r="Z701" s="368" t="str">
        <f t="shared" ca="1" si="313"/>
        <v/>
      </c>
      <c r="AA701" s="369" t="str">
        <f t="shared" ca="1" si="314"/>
        <v/>
      </c>
      <c r="AB701" s="344"/>
      <c r="AC701" s="363" t="e">
        <f t="shared" ca="1" si="315"/>
        <v>#N/A</v>
      </c>
      <c r="AD701" s="376" t="e">
        <f t="shared" ca="1" si="316"/>
        <v>#N/A</v>
      </c>
      <c r="AE701" s="377" t="e">
        <f t="shared" ca="1" si="295"/>
        <v>#N/A</v>
      </c>
      <c r="AF701" s="344"/>
      <c r="AG701" s="359">
        <f t="shared" ca="1" si="317"/>
        <v>4.4678358494213475</v>
      </c>
      <c r="AH701" s="357">
        <f t="shared" ca="1" si="318"/>
        <v>-5.2196377347141913</v>
      </c>
    </row>
    <row r="702" spans="1:34" x14ac:dyDescent="0.25">
      <c r="A702" s="402">
        <f t="shared" ca="1" si="296"/>
        <v>0.1</v>
      </c>
      <c r="B702" s="357">
        <f t="shared" ca="1" si="297"/>
        <v>33.800000000000168</v>
      </c>
      <c r="C702" s="342"/>
      <c r="D702" s="359">
        <f t="shared" ca="1" si="298"/>
        <v>-0.82294787568835004</v>
      </c>
      <c r="E702" s="360">
        <f t="shared" ca="1" si="299"/>
        <v>-4.6122239674859697</v>
      </c>
      <c r="F702" s="357">
        <f t="shared" ca="1" si="300"/>
        <v>4.6850670360574345</v>
      </c>
      <c r="G702" s="359">
        <f t="shared" ca="1" si="301"/>
        <v>20.198926142593631</v>
      </c>
      <c r="H702" s="360">
        <f t="shared" ca="1" si="302"/>
        <v>-128.55833179477068</v>
      </c>
      <c r="I702" s="357">
        <f t="shared" ca="1" si="303"/>
        <v>130.13547283953096</v>
      </c>
      <c r="J702" s="359">
        <f t="shared" ca="1" si="304"/>
        <v>974.02861429152631</v>
      </c>
      <c r="K702" s="360">
        <f t="shared" ca="1" si="305"/>
        <v>227.46511627645418</v>
      </c>
      <c r="L702" s="357">
        <f t="shared" ca="1" si="290"/>
        <v>1000.2360324350107</v>
      </c>
      <c r="M702" s="359">
        <f t="shared" ca="1" si="306"/>
        <v>-1.4149516383972405</v>
      </c>
      <c r="N702" s="357">
        <f t="shared" ca="1" si="307"/>
        <v>-81.070757095282872</v>
      </c>
      <c r="O702" s="343"/>
      <c r="P702" s="363">
        <f t="shared" ca="1" si="308"/>
        <v>23</v>
      </c>
      <c r="Q702" s="357">
        <f t="shared" ca="1" si="309"/>
        <v>0</v>
      </c>
      <c r="R702" s="359">
        <f t="shared" ca="1" si="310"/>
        <v>0</v>
      </c>
      <c r="S702" s="360">
        <f t="shared" ca="1" si="311"/>
        <v>8.6519999999999992</v>
      </c>
      <c r="T702" s="357">
        <f t="shared" ca="1" si="291"/>
        <v>84.87612</v>
      </c>
      <c r="U702" s="364">
        <f t="shared" ca="1" si="292"/>
        <v>0</v>
      </c>
      <c r="V702" s="359">
        <f t="shared" ca="1" si="293"/>
        <v>1.1974488693133933</v>
      </c>
      <c r="W702" s="357">
        <f t="shared" ca="1" si="294"/>
        <v>45.901616998413495</v>
      </c>
      <c r="X702" s="343"/>
      <c r="Y702" s="367" t="str">
        <f t="shared" ca="1" si="312"/>
        <v/>
      </c>
      <c r="Z702" s="368" t="str">
        <f t="shared" ca="1" si="313"/>
        <v/>
      </c>
      <c r="AA702" s="369" t="str">
        <f t="shared" ca="1" si="314"/>
        <v/>
      </c>
      <c r="AB702" s="344"/>
      <c r="AC702" s="363" t="e">
        <f t="shared" ca="1" si="315"/>
        <v>#N/A</v>
      </c>
      <c r="AD702" s="376" t="e">
        <f t="shared" ca="1" si="316"/>
        <v>#N/A</v>
      </c>
      <c r="AE702" s="377" t="e">
        <f t="shared" ca="1" si="295"/>
        <v>#N/A</v>
      </c>
      <c r="AF702" s="344"/>
      <c r="AG702" s="359">
        <f t="shared" ca="1" si="317"/>
        <v>4.426788513613598</v>
      </c>
      <c r="AH702" s="357">
        <f t="shared" ca="1" si="318"/>
        <v>-5.2625202033129774</v>
      </c>
    </row>
    <row r="703" spans="1:34" x14ac:dyDescent="0.25">
      <c r="A703" s="402">
        <f t="shared" ca="1" si="296"/>
        <v>0.1</v>
      </c>
      <c r="B703" s="357">
        <f t="shared" ca="1" si="297"/>
        <v>33.900000000000169</v>
      </c>
      <c r="C703" s="342"/>
      <c r="D703" s="359">
        <f t="shared" ca="1" si="298"/>
        <v>-0.8234629446235755</v>
      </c>
      <c r="E703" s="360">
        <f t="shared" ca="1" si="299"/>
        <v>-4.5689776947407958</v>
      </c>
      <c r="F703" s="357">
        <f t="shared" ca="1" si="300"/>
        <v>4.6425906987593732</v>
      </c>
      <c r="G703" s="359">
        <f t="shared" ca="1" si="301"/>
        <v>20.116579848131273</v>
      </c>
      <c r="H703" s="360">
        <f t="shared" ca="1" si="302"/>
        <v>-129.01522956424475</v>
      </c>
      <c r="I703" s="357">
        <f t="shared" ca="1" si="303"/>
        <v>130.57414079480293</v>
      </c>
      <c r="J703" s="359">
        <f t="shared" ca="1" si="304"/>
        <v>976.04438959106255</v>
      </c>
      <c r="K703" s="360">
        <f t="shared" ca="1" si="305"/>
        <v>214.58643820850341</v>
      </c>
      <c r="L703" s="357">
        <f t="shared" ca="1" si="290"/>
        <v>999.35478680756898</v>
      </c>
      <c r="M703" s="359">
        <f t="shared" ca="1" si="306"/>
        <v>-1.4161177618123559</v>
      </c>
      <c r="N703" s="357">
        <f t="shared" ca="1" si="307"/>
        <v>-81.137571045360374</v>
      </c>
      <c r="O703" s="343"/>
      <c r="P703" s="363">
        <f t="shared" ca="1" si="308"/>
        <v>23</v>
      </c>
      <c r="Q703" s="357">
        <f t="shared" ca="1" si="309"/>
        <v>0</v>
      </c>
      <c r="R703" s="359">
        <f t="shared" ca="1" si="310"/>
        <v>0</v>
      </c>
      <c r="S703" s="360">
        <f t="shared" ca="1" si="311"/>
        <v>8.6519999999999992</v>
      </c>
      <c r="T703" s="357">
        <f t="shared" ca="1" si="291"/>
        <v>84.87612</v>
      </c>
      <c r="U703" s="364">
        <f t="shared" ca="1" si="292"/>
        <v>0</v>
      </c>
      <c r="V703" s="359">
        <f t="shared" ca="1" si="293"/>
        <v>1.1989922072995216</v>
      </c>
      <c r="W703" s="357">
        <f t="shared" ca="1" si="294"/>
        <v>46.2711541016673</v>
      </c>
      <c r="X703" s="343"/>
      <c r="Y703" s="367" t="str">
        <f t="shared" ca="1" si="312"/>
        <v/>
      </c>
      <c r="Z703" s="368" t="str">
        <f t="shared" ca="1" si="313"/>
        <v/>
      </c>
      <c r="AA703" s="369" t="str">
        <f t="shared" ca="1" si="314"/>
        <v/>
      </c>
      <c r="AB703" s="344"/>
      <c r="AC703" s="363" t="e">
        <f t="shared" ca="1" si="315"/>
        <v>#N/A</v>
      </c>
      <c r="AD703" s="376" t="e">
        <f t="shared" ca="1" si="316"/>
        <v>#N/A</v>
      </c>
      <c r="AE703" s="377" t="e">
        <f t="shared" ca="1" si="295"/>
        <v>#N/A</v>
      </c>
      <c r="AF703" s="344"/>
      <c r="AG703" s="359">
        <f t="shared" ca="1" si="317"/>
        <v>4.3857917506286963</v>
      </c>
      <c r="AH703" s="357">
        <f t="shared" ca="1" si="318"/>
        <v>-5.3053186544629565</v>
      </c>
    </row>
    <row r="704" spans="1:34" x14ac:dyDescent="0.25">
      <c r="A704" s="402">
        <f t="shared" ca="1" si="296"/>
        <v>0.1</v>
      </c>
      <c r="B704" s="357">
        <f t="shared" ca="1" si="297"/>
        <v>34.000000000000171</v>
      </c>
      <c r="C704" s="342"/>
      <c r="D704" s="359">
        <f t="shared" ca="1" si="298"/>
        <v>-0.82393089841220235</v>
      </c>
      <c r="E704" s="360">
        <f t="shared" ca="1" si="299"/>
        <v>-4.525819746386988</v>
      </c>
      <c r="F704" s="357">
        <f t="shared" ca="1" si="300"/>
        <v>4.6002072238264136</v>
      </c>
      <c r="G704" s="359">
        <f t="shared" ca="1" si="301"/>
        <v>20.034186758290055</v>
      </c>
      <c r="H704" s="360">
        <f t="shared" ca="1" si="302"/>
        <v>-129.46781153888344</v>
      </c>
      <c r="I704" s="357">
        <f t="shared" ca="1" si="303"/>
        <v>131.00871293060581</v>
      </c>
      <c r="J704" s="359">
        <f t="shared" ca="1" si="304"/>
        <v>978.05192792138359</v>
      </c>
      <c r="K704" s="360">
        <f t="shared" ca="1" si="305"/>
        <v>201.662286153347</v>
      </c>
      <c r="L704" s="357">
        <f t="shared" ca="1" si="290"/>
        <v>998.62568130773093</v>
      </c>
      <c r="M704" s="359">
        <f t="shared" ca="1" si="306"/>
        <v>-1.4172713900884726</v>
      </c>
      <c r="N704" s="357">
        <f t="shared" ca="1" si="307"/>
        <v>-81.203669076708806</v>
      </c>
      <c r="O704" s="343"/>
      <c r="P704" s="363">
        <f t="shared" ca="1" si="308"/>
        <v>23</v>
      </c>
      <c r="Q704" s="357">
        <f t="shared" ca="1" si="309"/>
        <v>0</v>
      </c>
      <c r="R704" s="359">
        <f t="shared" ca="1" si="310"/>
        <v>0</v>
      </c>
      <c r="S704" s="360">
        <f t="shared" ca="1" si="311"/>
        <v>8.6519999999999992</v>
      </c>
      <c r="T704" s="357">
        <f t="shared" ca="1" si="291"/>
        <v>84.87612</v>
      </c>
      <c r="U704" s="364">
        <f t="shared" ca="1" si="292"/>
        <v>0</v>
      </c>
      <c r="V704" s="359">
        <f t="shared" ca="1" si="293"/>
        <v>1.2005429729456301</v>
      </c>
      <c r="W704" s="357">
        <f t="shared" ca="1" si="294"/>
        <v>46.639908310543632</v>
      </c>
      <c r="X704" s="343"/>
      <c r="Y704" s="367" t="str">
        <f t="shared" ca="1" si="312"/>
        <v/>
      </c>
      <c r="Z704" s="368" t="str">
        <f t="shared" ca="1" si="313"/>
        <v/>
      </c>
      <c r="AA704" s="369" t="str">
        <f t="shared" ca="1" si="314"/>
        <v/>
      </c>
      <c r="AB704" s="344"/>
      <c r="AC704" s="363">
        <f t="shared" ca="1" si="315"/>
        <v>34.000000000000171</v>
      </c>
      <c r="AD704" s="376">
        <f t="shared" ca="1" si="316"/>
        <v>978.05192792138359</v>
      </c>
      <c r="AE704" s="377" t="e">
        <f t="shared" ca="1" si="295"/>
        <v>#N/A</v>
      </c>
      <c r="AF704" s="344"/>
      <c r="AG704" s="359">
        <f t="shared" ca="1" si="317"/>
        <v>4.3448495880268361</v>
      </c>
      <c r="AH704" s="357">
        <f t="shared" ca="1" si="318"/>
        <v>-5.3480298314455972</v>
      </c>
    </row>
    <row r="705" spans="1:34" x14ac:dyDescent="0.25">
      <c r="A705" s="402">
        <f t="shared" ca="1" si="296"/>
        <v>0.1</v>
      </c>
      <c r="B705" s="357">
        <f t="shared" ca="1" si="297"/>
        <v>34.100000000000172</v>
      </c>
      <c r="C705" s="342"/>
      <c r="D705" s="359">
        <f t="shared" ca="1" si="298"/>
        <v>-0.82435203641910404</v>
      </c>
      <c r="E705" s="360">
        <f t="shared" ca="1" si="299"/>
        <v>-4.4827533600214569</v>
      </c>
      <c r="F705" s="357">
        <f t="shared" ca="1" si="300"/>
        <v>4.557919916665055</v>
      </c>
      <c r="G705" s="359">
        <f t="shared" ca="1" si="301"/>
        <v>19.951751554648144</v>
      </c>
      <c r="H705" s="360">
        <f t="shared" ca="1" si="302"/>
        <v>-129.91608687488559</v>
      </c>
      <c r="I705" s="357">
        <f t="shared" ca="1" si="303"/>
        <v>131.43919513973458</v>
      </c>
      <c r="J705" s="359">
        <f t="shared" ca="1" si="304"/>
        <v>980.05122483703053</v>
      </c>
      <c r="K705" s="360">
        <f t="shared" ca="1" si="305"/>
        <v>188.69309123265856</v>
      </c>
      <c r="L705" s="357">
        <f t="shared" ca="1" si="290"/>
        <v>998.05084338599715</v>
      </c>
      <c r="M705" s="359">
        <f t="shared" ca="1" si="306"/>
        <v>-1.4184127319556572</v>
      </c>
      <c r="N705" s="357">
        <f t="shared" ca="1" si="307"/>
        <v>-81.269063148680075</v>
      </c>
      <c r="O705" s="343"/>
      <c r="P705" s="363">
        <f t="shared" ca="1" si="308"/>
        <v>23</v>
      </c>
      <c r="Q705" s="357">
        <f t="shared" ca="1" si="309"/>
        <v>0</v>
      </c>
      <c r="R705" s="359">
        <f t="shared" ca="1" si="310"/>
        <v>0</v>
      </c>
      <c r="S705" s="360">
        <f t="shared" ca="1" si="311"/>
        <v>8.6519999999999992</v>
      </c>
      <c r="T705" s="357">
        <f t="shared" ca="1" si="291"/>
        <v>84.87612</v>
      </c>
      <c r="U705" s="364">
        <f t="shared" ca="1" si="292"/>
        <v>0</v>
      </c>
      <c r="V705" s="359">
        <f t="shared" ca="1" si="293"/>
        <v>1.202101139165825</v>
      </c>
      <c r="W705" s="357">
        <f t="shared" ca="1" si="294"/>
        <v>47.007852207346588</v>
      </c>
      <c r="X705" s="343"/>
      <c r="Y705" s="367" t="str">
        <f t="shared" ca="1" si="312"/>
        <v/>
      </c>
      <c r="Z705" s="368" t="str">
        <f t="shared" ca="1" si="313"/>
        <v/>
      </c>
      <c r="AA705" s="369" t="str">
        <f t="shared" ca="1" si="314"/>
        <v/>
      </c>
      <c r="AB705" s="344"/>
      <c r="AC705" s="363" t="e">
        <f t="shared" ca="1" si="315"/>
        <v>#N/A</v>
      </c>
      <c r="AD705" s="376" t="e">
        <f t="shared" ca="1" si="316"/>
        <v>#N/A</v>
      </c>
      <c r="AE705" s="377" t="e">
        <f t="shared" ca="1" si="295"/>
        <v>#N/A</v>
      </c>
      <c r="AF705" s="344"/>
      <c r="AG705" s="359">
        <f t="shared" ca="1" si="317"/>
        <v>4.3039659876441005</v>
      </c>
      <c r="AH705" s="357">
        <f t="shared" ca="1" si="318"/>
        <v>-5.3906505213295928</v>
      </c>
    </row>
    <row r="706" spans="1:34" x14ac:dyDescent="0.25">
      <c r="A706" s="402">
        <f t="shared" ca="1" si="296"/>
        <v>0.1</v>
      </c>
      <c r="B706" s="357">
        <f t="shared" ca="1" si="297"/>
        <v>34.200000000000173</v>
      </c>
      <c r="C706" s="342"/>
      <c r="D706" s="359">
        <f t="shared" ca="1" si="298"/>
        <v>-0.82472666252890481</v>
      </c>
      <c r="E706" s="360">
        <f t="shared" ca="1" si="299"/>
        <v>-4.439781729004233</v>
      </c>
      <c r="F706" s="357">
        <f t="shared" ca="1" si="300"/>
        <v>4.5157320413290565</v>
      </c>
      <c r="G706" s="359">
        <f t="shared" ca="1" si="301"/>
        <v>19.869278888395254</v>
      </c>
      <c r="H706" s="360">
        <f t="shared" ca="1" si="302"/>
        <v>-130.36006504778601</v>
      </c>
      <c r="I706" s="357">
        <f t="shared" ca="1" si="303"/>
        <v>131.86559370361866</v>
      </c>
      <c r="J706" s="359">
        <f t="shared" ca="1" si="304"/>
        <v>982.04227635918267</v>
      </c>
      <c r="K706" s="360">
        <f t="shared" ca="1" si="305"/>
        <v>175.67928363652499</v>
      </c>
      <c r="L706" s="357">
        <f t="shared" ca="1" si="290"/>
        <v>997.63231867044487</v>
      </c>
      <c r="M706" s="359">
        <f t="shared" ca="1" si="306"/>
        <v>-1.4195419914285592</v>
      </c>
      <c r="N706" s="357">
        <f t="shared" ca="1" si="307"/>
        <v>-81.333764950452519</v>
      </c>
      <c r="O706" s="343"/>
      <c r="P706" s="363">
        <f t="shared" ca="1" si="308"/>
        <v>23</v>
      </c>
      <c r="Q706" s="357">
        <f t="shared" ca="1" si="309"/>
        <v>0</v>
      </c>
      <c r="R706" s="359">
        <f t="shared" ca="1" si="310"/>
        <v>0</v>
      </c>
      <c r="S706" s="360">
        <f t="shared" ca="1" si="311"/>
        <v>8.6519999999999992</v>
      </c>
      <c r="T706" s="357">
        <f t="shared" ca="1" si="291"/>
        <v>84.87612</v>
      </c>
      <c r="U706" s="364">
        <f t="shared" ca="1" si="292"/>
        <v>0</v>
      </c>
      <c r="V706" s="359">
        <f t="shared" ca="1" si="293"/>
        <v>1.2036666788830961</v>
      </c>
      <c r="W706" s="357">
        <f t="shared" ca="1" si="294"/>
        <v>47.374958756580128</v>
      </c>
      <c r="X706" s="343"/>
      <c r="Y706" s="367" t="str">
        <f t="shared" ca="1" si="312"/>
        <v/>
      </c>
      <c r="Z706" s="368" t="str">
        <f t="shared" ca="1" si="313"/>
        <v/>
      </c>
      <c r="AA706" s="369" t="str">
        <f t="shared" ca="1" si="314"/>
        <v/>
      </c>
      <c r="AB706" s="344"/>
      <c r="AC706" s="363" t="e">
        <f t="shared" ca="1" si="315"/>
        <v>#N/A</v>
      </c>
      <c r="AD706" s="376" t="e">
        <f t="shared" ca="1" si="316"/>
        <v>#N/A</v>
      </c>
      <c r="AE706" s="377" t="e">
        <f t="shared" ca="1" si="295"/>
        <v>#N/A</v>
      </c>
      <c r="AF706" s="344"/>
      <c r="AG706" s="359">
        <f t="shared" ca="1" si="317"/>
        <v>4.2631448461310502</v>
      </c>
      <c r="AH706" s="357">
        <f t="shared" ca="1" si="318"/>
        <v>-5.4331775551718202</v>
      </c>
    </row>
    <row r="707" spans="1:34" x14ac:dyDescent="0.25">
      <c r="A707" s="402">
        <f t="shared" ca="1" si="296"/>
        <v>0.1</v>
      </c>
      <c r="B707" s="357">
        <f t="shared" ca="1" si="297"/>
        <v>34.300000000000175</v>
      </c>
      <c r="C707" s="342"/>
      <c r="D707" s="359">
        <f t="shared" ca="1" si="298"/>
        <v>-0.82505508502247227</v>
      </c>
      <c r="E707" s="360">
        <f t="shared" ca="1" si="299"/>
        <v>-4.3969080022650591</v>
      </c>
      <c r="F707" s="357">
        <f t="shared" ca="1" si="300"/>
        <v>4.4736468204032329</v>
      </c>
      <c r="G707" s="359">
        <f t="shared" ca="1" si="301"/>
        <v>19.786773379893006</v>
      </c>
      <c r="H707" s="360">
        <f t="shared" ca="1" si="302"/>
        <v>-130.79975584801252</v>
      </c>
      <c r="I707" s="357">
        <f t="shared" ca="1" si="303"/>
        <v>132.28791528589045</v>
      </c>
      <c r="J707" s="359">
        <f t="shared" ca="1" si="304"/>
        <v>984.02507897259704</v>
      </c>
      <c r="K707" s="360">
        <f t="shared" ca="1" si="305"/>
        <v>162.62129259173506</v>
      </c>
      <c r="L707" s="357">
        <f t="shared" ca="1" si="290"/>
        <v>997.37206741076955</v>
      </c>
      <c r="M707" s="359">
        <f t="shared" ca="1" si="306"/>
        <v>-1.4206593679366308</v>
      </c>
      <c r="N707" s="357">
        <f t="shared" ca="1" si="307"/>
        <v>-81.397785908492096</v>
      </c>
      <c r="O707" s="343"/>
      <c r="P707" s="363">
        <f t="shared" ca="1" si="308"/>
        <v>23</v>
      </c>
      <c r="Q707" s="357">
        <f t="shared" ca="1" si="309"/>
        <v>0</v>
      </c>
      <c r="R707" s="359">
        <f t="shared" ca="1" si="310"/>
        <v>0</v>
      </c>
      <c r="S707" s="360">
        <f t="shared" ca="1" si="311"/>
        <v>8.6519999999999992</v>
      </c>
      <c r="T707" s="357">
        <f t="shared" ca="1" si="291"/>
        <v>84.87612</v>
      </c>
      <c r="U707" s="364">
        <f t="shared" ca="1" si="292"/>
        <v>0</v>
      </c>
      <c r="V707" s="359">
        <f t="shared" ca="1" si="293"/>
        <v>1.2052395650313514</v>
      </c>
      <c r="W707" s="357">
        <f t="shared" ca="1" si="294"/>
        <v>47.741201306439073</v>
      </c>
      <c r="X707" s="343"/>
      <c r="Y707" s="367" t="str">
        <f t="shared" ca="1" si="312"/>
        <v/>
      </c>
      <c r="Z707" s="368" t="str">
        <f t="shared" ca="1" si="313"/>
        <v/>
      </c>
      <c r="AA707" s="369" t="str">
        <f t="shared" ca="1" si="314"/>
        <v/>
      </c>
      <c r="AB707" s="344"/>
      <c r="AC707" s="363" t="e">
        <f t="shared" ca="1" si="315"/>
        <v>#N/A</v>
      </c>
      <c r="AD707" s="376" t="e">
        <f t="shared" ca="1" si="316"/>
        <v>#N/A</v>
      </c>
      <c r="AE707" s="377" t="e">
        <f t="shared" ca="1" si="295"/>
        <v>#N/A</v>
      </c>
      <c r="AF707" s="344"/>
      <c r="AG707" s="359">
        <f t="shared" ca="1" si="317"/>
        <v>4.2223899954770712</v>
      </c>
      <c r="AH707" s="357">
        <f t="shared" ca="1" si="318"/>
        <v>-5.4756078082038986</v>
      </c>
    </row>
    <row r="708" spans="1:34" x14ac:dyDescent="0.25">
      <c r="A708" s="402">
        <f t="shared" ca="1" si="296"/>
        <v>0.1</v>
      </c>
      <c r="B708" s="357">
        <f t="shared" ca="1" si="297"/>
        <v>34.400000000000176</v>
      </c>
      <c r="C708" s="342"/>
      <c r="D708" s="359">
        <f t="shared" ca="1" si="298"/>
        <v>-0.82533761645414117</v>
      </c>
      <c r="E708" s="360">
        <f t="shared" ca="1" si="299"/>
        <v>-4.354135284124534</v>
      </c>
      <c r="F708" s="357">
        <f t="shared" ca="1" si="300"/>
        <v>4.4316674349044334</v>
      </c>
      <c r="G708" s="359">
        <f t="shared" ca="1" si="301"/>
        <v>19.704239618247591</v>
      </c>
      <c r="H708" s="360">
        <f t="shared" ca="1" si="302"/>
        <v>-131.23516937642498</v>
      </c>
      <c r="I708" s="357">
        <f t="shared" ca="1" si="303"/>
        <v>132.70616692600336</v>
      </c>
      <c r="J708" s="359">
        <f t="shared" ca="1" si="304"/>
        <v>985.99962962250402</v>
      </c>
      <c r="K708" s="360">
        <f t="shared" ca="1" si="305"/>
        <v>149.51954633051318</v>
      </c>
      <c r="L708" s="357">
        <f t="shared" ref="L708:L771" ca="1" si="319">SQRT(pos_x^2+pos_z^2)</f>
        <v>997.27196107711643</v>
      </c>
      <c r="M708" s="359">
        <f t="shared" ca="1" si="306"/>
        <v>-1.4217650564501159</v>
      </c>
      <c r="N708" s="357">
        <f t="shared" ca="1" si="307"/>
        <v>-81.461137193770881</v>
      </c>
      <c r="O708" s="343"/>
      <c r="P708" s="363">
        <f t="shared" ca="1" si="308"/>
        <v>23</v>
      </c>
      <c r="Q708" s="357">
        <f t="shared" ca="1" si="309"/>
        <v>0</v>
      </c>
      <c r="R708" s="359">
        <f t="shared" ca="1" si="310"/>
        <v>0</v>
      </c>
      <c r="S708" s="360">
        <f t="shared" ca="1" si="311"/>
        <v>8.6519999999999992</v>
      </c>
      <c r="T708" s="357">
        <f t="shared" ref="T708:T771" ca="1" si="320">m*g</f>
        <v>84.87612</v>
      </c>
      <c r="U708" s="364">
        <f t="shared" ref="U708:U771" ca="1" si="321">IF(pos_xz&lt;L_rampe,Poids*COS(Beta),0)</f>
        <v>0</v>
      </c>
      <c r="V708" s="359">
        <f t="shared" ref="V708:V771" ca="1" si="322">Rho_moyen*(20000-Alt_rampe-pos_z)/(20000+Alt_rampe+pos_z)</f>
        <v>1.2068197705574339</v>
      </c>
      <c r="W708" s="357">
        <f t="shared" ref="W708:W771" ca="1" si="323">1/2*Rho*Sref*Cx*vit_xz^2</f>
        <v>48.106553590177299</v>
      </c>
      <c r="X708" s="343"/>
      <c r="Y708" s="367" t="str">
        <f t="shared" ca="1" si="312"/>
        <v/>
      </c>
      <c r="Z708" s="368" t="str">
        <f t="shared" ca="1" si="313"/>
        <v/>
      </c>
      <c r="AA708" s="369" t="str">
        <f t="shared" ca="1" si="314"/>
        <v/>
      </c>
      <c r="AB708" s="344"/>
      <c r="AC708" s="363" t="e">
        <f t="shared" ca="1" si="315"/>
        <v>#N/A</v>
      </c>
      <c r="AD708" s="376" t="e">
        <f t="shared" ca="1" si="316"/>
        <v>#N/A</v>
      </c>
      <c r="AE708" s="377" t="e">
        <f t="shared" ref="AE708:AE771" ca="1" si="324">IF(t&lt;T_para, pos_z, NA())</f>
        <v>#N/A</v>
      </c>
      <c r="AF708" s="344"/>
      <c r="AG708" s="359">
        <f t="shared" ca="1" si="317"/>
        <v>4.1817052035215525</v>
      </c>
      <c r="AH708" s="357">
        <f t="shared" ca="1" si="318"/>
        <v>-5.517938200004517</v>
      </c>
    </row>
    <row r="709" spans="1:34" x14ac:dyDescent="0.25">
      <c r="A709" s="402">
        <f t="shared" ref="A709:A772" ca="1" si="325">IF(B708+0.01&lt;=T_ini+ROUNDUP(Temps_fin_propu,0), 0.01, IF(K708&gt;0, 0.1, 0.0001))</f>
        <v>0.1</v>
      </c>
      <c r="B709" s="357">
        <f t="shared" ref="B709:B772" ca="1" si="326">B708+pas</f>
        <v>34.500000000000178</v>
      </c>
      <c r="C709" s="342"/>
      <c r="D709" s="359">
        <f t="shared" ref="D709:D772" ca="1" si="327">IF(AND(L708&lt;L_rampe,Poussee&lt;Poids*SIN(M708)),0,(-W708+Poussee)/m*COS(M708)-U708/m*SIN(M708))</f>
        <v>-0.82557457352967345</v>
      </c>
      <c r="E709" s="360">
        <f t="shared" ref="E709:E772" ca="1" si="328">IF(AND(L708&lt;L_rampe,Poussee&lt;Poids*SIN(M708)),0,(-W708+Poussee)/m*SIN(M708)+U708/m*COS(M708)-Poids/m)</f>
        <v>-4.3114666341297703</v>
      </c>
      <c r="F709" s="357">
        <f t="shared" ref="F709:F772" ca="1" si="329">SQRT(acc_x^2+acc_z^2)</f>
        <v>4.3897970241997513</v>
      </c>
      <c r="G709" s="359">
        <f t="shared" ref="G709:G772" ca="1" si="330">G708+acc_x*pas</f>
        <v>19.621682160894625</v>
      </c>
      <c r="H709" s="360">
        <f t="shared" ref="H709:H772" ca="1" si="331">H708+acc_z*pas</f>
        <v>-131.66631603983797</v>
      </c>
      <c r="I709" s="357">
        <f t="shared" ref="I709:I772" ca="1" si="332">SQRT(vit_x^2+vit_z^2)</f>
        <v>133.12035603289854</v>
      </c>
      <c r="J709" s="359">
        <f t="shared" ref="J709:J772" ca="1" si="333">J708+0.5*(vit_x+G708)*pas*(K708&gt;=0)</f>
        <v>987.96592571146118</v>
      </c>
      <c r="K709" s="360">
        <f t="shared" ref="K709:K772" ca="1" si="334">K708+0.5*(vit_z+H708)*pas</f>
        <v>136.37447205970003</v>
      </c>
      <c r="L709" s="357">
        <f t="shared" ca="1" si="319"/>
        <v>997.33377913137303</v>
      </c>
      <c r="M709" s="359">
        <f t="shared" ref="M709:M772" ca="1" si="335">IF(AND(L708&gt;L_rampe,G709&gt;0),ATAN2(G709,H709),$M$4)</f>
        <v>-1.4228592476019626</v>
      </c>
      <c r="N709" s="357">
        <f t="shared" ref="N709:N772" ca="1" si="336">DEGREES(Beta)</f>
        <v>-81.523829728752261</v>
      </c>
      <c r="O709" s="343"/>
      <c r="P709" s="363">
        <f t="shared" ref="P709:P772" ca="1" si="337">MATCH(t-pas/2-T_ini,CdP_t)</f>
        <v>23</v>
      </c>
      <c r="Q709" s="357">
        <f t="shared" ref="Q709:Q772" ca="1" si="338">(INDEX(CdP,2,i_P+1)-INDEX(CdP,2,i_P+0))/(INDEX(CdP,1,i_P+1)-INDEX(CdP,1,i_P+0))*(t-pas/2-T_ini-INDEX(CdP,1,i_P+0))+INDEX(CdP,2,i_P+0)</f>
        <v>0</v>
      </c>
      <c r="R709" s="359">
        <f t="shared" ref="R709:R772" ca="1" si="339">Poussee/(g*ISP)</f>
        <v>0</v>
      </c>
      <c r="S709" s="360">
        <f t="shared" ref="S709:S772" ca="1" si="340">S708-Débit*pas</f>
        <v>8.6519999999999992</v>
      </c>
      <c r="T709" s="357">
        <f t="shared" ca="1" si="320"/>
        <v>84.87612</v>
      </c>
      <c r="U709" s="364">
        <f t="shared" ca="1" si="321"/>
        <v>0</v>
      </c>
      <c r="V709" s="359">
        <f t="shared" ca="1" si="322"/>
        <v>1.2084072684231282</v>
      </c>
      <c r="W709" s="357">
        <f t="shared" ca="1" si="323"/>
        <v>48.470989727354599</v>
      </c>
      <c r="X709" s="343"/>
      <c r="Y709" s="367" t="str">
        <f t="shared" ref="Y709:Y772" ca="1" si="341">IF(AND(pos_z&lt;=0,K708&gt;0),"Impact balistique","") &amp; IF(AND(H710&lt;0,vit_z&gt;=0),"Apogée","") &amp; IF(AND(Poussee=0,Q708&gt;0),"Fin de propulsion","") &amp; IF(AND(L710&gt;L_rampe,pos_xz&lt;=L_rampe),"Sortie de rampe","")</f>
        <v/>
      </c>
      <c r="Z709" s="368" t="str">
        <f t="shared" ref="Z709:Z772" ca="1" si="342">IF(ABS(t-T_para)&lt;pas/2,"Para","")</f>
        <v/>
      </c>
      <c r="AA709" s="369" t="str">
        <f t="shared" ref="AA709:AA772" ca="1" si="343">IF(ABS(t-T_satellite)&lt;pas/2,"Satellite","")</f>
        <v/>
      </c>
      <c r="AB709" s="344"/>
      <c r="AC709" s="363" t="e">
        <f t="shared" ref="AC709:AC772" ca="1" si="344">IF(ABS(t-ROUND(t,0))&lt;0.001,t,NA())</f>
        <v>#N/A</v>
      </c>
      <c r="AD709" s="376" t="e">
        <f t="shared" ref="AD709:AD772" ca="1" si="345">IF(ABS(t-ROUND(t,0))&lt;0.001,pos_x,NA())</f>
        <v>#N/A</v>
      </c>
      <c r="AE709" s="377" t="e">
        <f t="shared" ca="1" si="324"/>
        <v>#N/A</v>
      </c>
      <c r="AF709" s="344"/>
      <c r="AG709" s="359">
        <f t="shared" ref="AG709:AG772" ca="1" si="346">IF(AND(L708&lt;L_rampe,Poussee&lt;Poids*SIN(M708)),0,(-W708+Poussee)/m-Poids*SIN(M708)/m)</f>
        <v>4.1410941744530296</v>
      </c>
      <c r="AH709" s="357">
        <f t="shared" ref="AH709:AH772" ca="1" si="347">IF(AND(L708&lt;L_rampe,Poussee&lt;Poids*SIN(M708)), g*SIN(M708), (-W708+Poussee)/m)</f>
        <v>-5.560165694657571</v>
      </c>
    </row>
    <row r="710" spans="1:34" x14ac:dyDescent="0.25">
      <c r="A710" s="402">
        <f t="shared" ca="1" si="325"/>
        <v>0.1</v>
      </c>
      <c r="B710" s="357">
        <f t="shared" ca="1" si="326"/>
        <v>34.600000000000179</v>
      </c>
      <c r="C710" s="342"/>
      <c r="D710" s="359">
        <f t="shared" ca="1" si="327"/>
        <v>-0.82576627698499061</v>
      </c>
      <c r="E710" s="360">
        <f t="shared" ca="1" si="328"/>
        <v>-4.2689050669043702</v>
      </c>
      <c r="F710" s="357">
        <f t="shared" ca="1" si="329"/>
        <v>4.3480386859419102</v>
      </c>
      <c r="G710" s="359">
        <f t="shared" ca="1" si="330"/>
        <v>19.539105533196125</v>
      </c>
      <c r="H710" s="360">
        <f t="shared" ca="1" si="331"/>
        <v>-132.09320654652839</v>
      </c>
      <c r="I710" s="357">
        <f t="shared" ca="1" si="332"/>
        <v>133.53049037871907</v>
      </c>
      <c r="J710" s="359">
        <f t="shared" ca="1" si="333"/>
        <v>989.92396509616572</v>
      </c>
      <c r="K710" s="360">
        <f t="shared" ca="1" si="334"/>
        <v>123.18649593038171</v>
      </c>
      <c r="L710" s="357">
        <f t="shared" ca="1" si="319"/>
        <v>997.55920598795569</v>
      </c>
      <c r="M710" s="359">
        <f t="shared" ca="1" si="335"/>
        <v>-1.4239421278058155</v>
      </c>
      <c r="N710" s="357">
        <f t="shared" ca="1" si="336"/>
        <v>-81.585874194151302</v>
      </c>
      <c r="O710" s="343"/>
      <c r="P710" s="363">
        <f t="shared" ca="1" si="337"/>
        <v>23</v>
      </c>
      <c r="Q710" s="357">
        <f t="shared" ca="1" si="338"/>
        <v>0</v>
      </c>
      <c r="R710" s="359">
        <f t="shared" ca="1" si="339"/>
        <v>0</v>
      </c>
      <c r="S710" s="360">
        <f t="shared" ca="1" si="340"/>
        <v>8.6519999999999992</v>
      </c>
      <c r="T710" s="357">
        <f t="shared" ca="1" si="320"/>
        <v>84.87612</v>
      </c>
      <c r="U710" s="364">
        <f t="shared" ca="1" si="321"/>
        <v>0</v>
      </c>
      <c r="V710" s="359">
        <f t="shared" ca="1" si="322"/>
        <v>1.2100020316071478</v>
      </c>
      <c r="W710" s="357">
        <f t="shared" ca="1" si="323"/>
        <v>48.834484224962914</v>
      </c>
      <c r="X710" s="343"/>
      <c r="Y710" s="367" t="str">
        <f t="shared" ca="1" si="341"/>
        <v/>
      </c>
      <c r="Z710" s="368" t="str">
        <f t="shared" ca="1" si="342"/>
        <v/>
      </c>
      <c r="AA710" s="369" t="str">
        <f t="shared" ca="1" si="343"/>
        <v/>
      </c>
      <c r="AB710" s="344"/>
      <c r="AC710" s="363" t="e">
        <f t="shared" ca="1" si="344"/>
        <v>#N/A</v>
      </c>
      <c r="AD710" s="376" t="e">
        <f t="shared" ca="1" si="345"/>
        <v>#N/A</v>
      </c>
      <c r="AE710" s="377" t="e">
        <f t="shared" ca="1" si="324"/>
        <v>#N/A</v>
      </c>
      <c r="AF710" s="344"/>
      <c r="AG710" s="359">
        <f t="shared" ca="1" si="346"/>
        <v>4.1005605492972794</v>
      </c>
      <c r="AH710" s="357">
        <f t="shared" ca="1" si="347"/>
        <v>-5.602287300896279</v>
      </c>
    </row>
    <row r="711" spans="1:34" x14ac:dyDescent="0.25">
      <c r="A711" s="402">
        <f t="shared" ca="1" si="325"/>
        <v>0.1</v>
      </c>
      <c r="B711" s="357">
        <f t="shared" ca="1" si="326"/>
        <v>34.70000000000018</v>
      </c>
      <c r="C711" s="342"/>
      <c r="D711" s="359">
        <f t="shared" ca="1" si="327"/>
        <v>-0.82591305146566041</v>
      </c>
      <c r="E711" s="360">
        <f t="shared" ca="1" si="328"/>
        <v>-4.2264535520126607</v>
      </c>
      <c r="F711" s="357">
        <f t="shared" ca="1" si="329"/>
        <v>4.3063954760218843</v>
      </c>
      <c r="G711" s="359">
        <f t="shared" ca="1" si="330"/>
        <v>19.45651422804956</v>
      </c>
      <c r="H711" s="360">
        <f t="shared" ca="1" si="331"/>
        <v>-132.51585190172966</v>
      </c>
      <c r="I711" s="357">
        <f t="shared" ca="1" si="332"/>
        <v>133.93657809257127</v>
      </c>
      <c r="J711" s="359">
        <f t="shared" ca="1" si="333"/>
        <v>991.87374608422795</v>
      </c>
      <c r="K711" s="360">
        <f t="shared" ca="1" si="334"/>
        <v>109.9560430079688</v>
      </c>
      <c r="L711" s="357">
        <f t="shared" ca="1" si="319"/>
        <v>997.94982818031974</v>
      </c>
      <c r="M711" s="359">
        <f t="shared" ca="1" si="335"/>
        <v>-1.4250138793702281</v>
      </c>
      <c r="N711" s="357">
        <f t="shared" ca="1" si="336"/>
        <v>-81.64728103547867</v>
      </c>
      <c r="O711" s="343"/>
      <c r="P711" s="363">
        <f t="shared" ca="1" si="337"/>
        <v>23</v>
      </c>
      <c r="Q711" s="357">
        <f t="shared" ca="1" si="338"/>
        <v>0</v>
      </c>
      <c r="R711" s="359">
        <f t="shared" ca="1" si="339"/>
        <v>0</v>
      </c>
      <c r="S711" s="360">
        <f t="shared" ca="1" si="340"/>
        <v>8.6519999999999992</v>
      </c>
      <c r="T711" s="357">
        <f t="shared" ca="1" si="320"/>
        <v>84.87612</v>
      </c>
      <c r="U711" s="364">
        <f t="shared" ca="1" si="321"/>
        <v>0</v>
      </c>
      <c r="V711" s="359">
        <f t="shared" ca="1" si="322"/>
        <v>1.2116040331071143</v>
      </c>
      <c r="W711" s="357">
        <f t="shared" ca="1" si="323"/>
        <v>49.197011978433608</v>
      </c>
      <c r="X711" s="343"/>
      <c r="Y711" s="367" t="str">
        <f t="shared" ca="1" si="341"/>
        <v/>
      </c>
      <c r="Z711" s="368" t="str">
        <f t="shared" ca="1" si="342"/>
        <v/>
      </c>
      <c r="AA711" s="369" t="str">
        <f t="shared" ca="1" si="343"/>
        <v/>
      </c>
      <c r="AB711" s="344"/>
      <c r="AC711" s="363" t="e">
        <f t="shared" ca="1" si="344"/>
        <v>#N/A</v>
      </c>
      <c r="AD711" s="376" t="e">
        <f t="shared" ca="1" si="345"/>
        <v>#N/A</v>
      </c>
      <c r="AE711" s="377" t="e">
        <f t="shared" ca="1" si="324"/>
        <v>#N/A</v>
      </c>
      <c r="AF711" s="344"/>
      <c r="AG711" s="359">
        <f t="shared" ca="1" si="346"/>
        <v>4.0601079063953476</v>
      </c>
      <c r="AH711" s="357">
        <f t="shared" ca="1" si="347"/>
        <v>-5.6443000722333467</v>
      </c>
    </row>
    <row r="712" spans="1:34" x14ac:dyDescent="0.25">
      <c r="A712" s="402">
        <f t="shared" ca="1" si="325"/>
        <v>0.1</v>
      </c>
      <c r="B712" s="357">
        <f t="shared" ca="1" si="326"/>
        <v>34.800000000000182</v>
      </c>
      <c r="C712" s="342"/>
      <c r="D712" s="359">
        <f t="shared" ca="1" si="327"/>
        <v>-0.82601522540718608</v>
      </c>
      <c r="E712" s="360">
        <f t="shared" ca="1" si="328"/>
        <v>-4.1841150138379399</v>
      </c>
      <c r="F712" s="357">
        <f t="shared" ca="1" si="329"/>
        <v>4.2648704085386404</v>
      </c>
      <c r="G712" s="359">
        <f t="shared" ca="1" si="330"/>
        <v>19.373912705508843</v>
      </c>
      <c r="H712" s="360">
        <f t="shared" ca="1" si="331"/>
        <v>-132.93426340311345</v>
      </c>
      <c r="I712" s="357">
        <f t="shared" ca="1" si="332"/>
        <v>134.33862765433113</v>
      </c>
      <c r="J712" s="359">
        <f t="shared" ca="1" si="333"/>
        <v>993.81526743090592</v>
      </c>
      <c r="K712" s="360">
        <f t="shared" ca="1" si="334"/>
        <v>96.683537242726644</v>
      </c>
      <c r="L712" s="357">
        <f t="shared" ca="1" si="319"/>
        <v>998.50713174845612</v>
      </c>
      <c r="M712" s="359">
        <f t="shared" ca="1" si="335"/>
        <v>-1.4260746806092355</v>
      </c>
      <c r="N712" s="357">
        <f t="shared" ca="1" si="336"/>
        <v>-81.708060469376051</v>
      </c>
      <c r="O712" s="343"/>
      <c r="P712" s="363">
        <f t="shared" ca="1" si="337"/>
        <v>23</v>
      </c>
      <c r="Q712" s="357">
        <f t="shared" ca="1" si="338"/>
        <v>0</v>
      </c>
      <c r="R712" s="359">
        <f t="shared" ca="1" si="339"/>
        <v>0</v>
      </c>
      <c r="S712" s="360">
        <f t="shared" ca="1" si="340"/>
        <v>8.6519999999999992</v>
      </c>
      <c r="T712" s="357">
        <f t="shared" ca="1" si="320"/>
        <v>84.87612</v>
      </c>
      <c r="U712" s="364">
        <f t="shared" ca="1" si="321"/>
        <v>0</v>
      </c>
      <c r="V712" s="359">
        <f t="shared" ca="1" si="322"/>
        <v>1.2132132459415153</v>
      </c>
      <c r="W712" s="357">
        <f t="shared" ca="1" si="323"/>
        <v>49.558548272526139</v>
      </c>
      <c r="X712" s="343"/>
      <c r="Y712" s="367" t="str">
        <f t="shared" ca="1" si="341"/>
        <v/>
      </c>
      <c r="Z712" s="368" t="str">
        <f t="shared" ca="1" si="342"/>
        <v/>
      </c>
      <c r="AA712" s="369" t="str">
        <f t="shared" ca="1" si="343"/>
        <v/>
      </c>
      <c r="AB712" s="344"/>
      <c r="AC712" s="363" t="e">
        <f t="shared" ca="1" si="344"/>
        <v>#N/A</v>
      </c>
      <c r="AD712" s="376" t="e">
        <f t="shared" ca="1" si="345"/>
        <v>#N/A</v>
      </c>
      <c r="AE712" s="377" t="e">
        <f t="shared" ca="1" si="324"/>
        <v>#N/A</v>
      </c>
      <c r="AF712" s="344"/>
      <c r="AG712" s="359">
        <f t="shared" ca="1" si="346"/>
        <v>4.0197397618723629</v>
      </c>
      <c r="AH712" s="357">
        <f t="shared" ca="1" si="347"/>
        <v>-5.6862011070773937</v>
      </c>
    </row>
    <row r="713" spans="1:34" x14ac:dyDescent="0.25">
      <c r="A713" s="402">
        <f t="shared" ca="1" si="325"/>
        <v>0.1</v>
      </c>
      <c r="B713" s="357">
        <f t="shared" ca="1" si="326"/>
        <v>34.900000000000183</v>
      </c>
      <c r="C713" s="342"/>
      <c r="D713" s="359">
        <f t="shared" ca="1" si="327"/>
        <v>-0.82607313091608625</v>
      </c>
      <c r="E713" s="360">
        <f t="shared" ca="1" si="328"/>
        <v>-4.1418923314747405</v>
      </c>
      <c r="F713" s="357">
        <f t="shared" ca="1" si="329"/>
        <v>4.2234664557861432</v>
      </c>
      <c r="G713" s="359">
        <f t="shared" ca="1" si="330"/>
        <v>19.291305392417236</v>
      </c>
      <c r="H713" s="360">
        <f t="shared" ca="1" si="331"/>
        <v>-133.34845263626093</v>
      </c>
      <c r="I713" s="357">
        <f t="shared" ca="1" si="332"/>
        <v>134.73664788849629</v>
      </c>
      <c r="J713" s="359">
        <f t="shared" ca="1" si="333"/>
        <v>995.74852833580223</v>
      </c>
      <c r="K713" s="360">
        <f t="shared" ca="1" si="334"/>
        <v>83.369401440757926</v>
      </c>
      <c r="L713" s="357">
        <f t="shared" ca="1" si="319"/>
        <v>999.23249986152177</v>
      </c>
      <c r="M713" s="359">
        <f t="shared" ca="1" si="335"/>
        <v>-1.4271247059494221</v>
      </c>
      <c r="N713" s="357">
        <f t="shared" ca="1" si="336"/>
        <v>-81.768222489750528</v>
      </c>
      <c r="O713" s="343"/>
      <c r="P713" s="363">
        <f t="shared" ca="1" si="337"/>
        <v>23</v>
      </c>
      <c r="Q713" s="357">
        <f t="shared" ca="1" si="338"/>
        <v>0</v>
      </c>
      <c r="R713" s="359">
        <f t="shared" ca="1" si="339"/>
        <v>0</v>
      </c>
      <c r="S713" s="360">
        <f t="shared" ca="1" si="340"/>
        <v>8.6519999999999992</v>
      </c>
      <c r="T713" s="357">
        <f t="shared" ca="1" si="320"/>
        <v>84.87612</v>
      </c>
      <c r="U713" s="364">
        <f t="shared" ca="1" si="321"/>
        <v>0</v>
      </c>
      <c r="V713" s="359">
        <f t="shared" ca="1" si="322"/>
        <v>1.2148296431516514</v>
      </c>
      <c r="W713" s="357">
        <f t="shared" ca="1" si="323"/>
        <v>49.919068782099984</v>
      </c>
      <c r="X713" s="343"/>
      <c r="Y713" s="367" t="str">
        <f t="shared" ca="1" si="341"/>
        <v/>
      </c>
      <c r="Z713" s="368" t="str">
        <f t="shared" ca="1" si="342"/>
        <v/>
      </c>
      <c r="AA713" s="369" t="str">
        <f t="shared" ca="1" si="343"/>
        <v/>
      </c>
      <c r="AB713" s="344"/>
      <c r="AC713" s="363" t="e">
        <f t="shared" ca="1" si="344"/>
        <v>#N/A</v>
      </c>
      <c r="AD713" s="376" t="e">
        <f t="shared" ca="1" si="345"/>
        <v>#N/A</v>
      </c>
      <c r="AE713" s="377" t="e">
        <f t="shared" ca="1" si="324"/>
        <v>#N/A</v>
      </c>
      <c r="AF713" s="344"/>
      <c r="AG713" s="359">
        <f t="shared" ca="1" si="346"/>
        <v>3.9794595700980304</v>
      </c>
      <c r="AH713" s="357">
        <f t="shared" ca="1" si="347"/>
        <v>-5.7279875488356611</v>
      </c>
    </row>
    <row r="714" spans="1:34" x14ac:dyDescent="0.25">
      <c r="A714" s="402">
        <f t="shared" ca="1" si="325"/>
        <v>0.1</v>
      </c>
      <c r="B714" s="357">
        <f t="shared" ca="1" si="326"/>
        <v>35.000000000000185</v>
      </c>
      <c r="C714" s="342"/>
      <c r="D714" s="359">
        <f t="shared" ca="1" si="327"/>
        <v>-0.82608710365179605</v>
      </c>
      <c r="E714" s="360">
        <f t="shared" ca="1" si="328"/>
        <v>-4.0997883386348377</v>
      </c>
      <c r="F714" s="357">
        <f t="shared" ca="1" si="329"/>
        <v>4.182186548257504</v>
      </c>
      <c r="G714" s="359">
        <f t="shared" ca="1" si="330"/>
        <v>19.208696682052057</v>
      </c>
      <c r="H714" s="360">
        <f t="shared" ca="1" si="331"/>
        <v>-133.75843147012441</v>
      </c>
      <c r="I714" s="357">
        <f t="shared" ca="1" si="332"/>
        <v>135.13064795808182</v>
      </c>
      <c r="J714" s="359">
        <f t="shared" ca="1" si="333"/>
        <v>997.67352843952574</v>
      </c>
      <c r="K714" s="360">
        <f t="shared" ca="1" si="334"/>
        <v>70.014057235438656</v>
      </c>
      <c r="L714" s="357">
        <f t="shared" ca="1" si="319"/>
        <v>1000.1272106884905</v>
      </c>
      <c r="M714" s="359">
        <f t="shared" ca="1" si="335"/>
        <v>-1.4281641260336084</v>
      </c>
      <c r="N714" s="357">
        <f t="shared" ca="1" si="336"/>
        <v>-81.827776873715536</v>
      </c>
      <c r="O714" s="343"/>
      <c r="P714" s="363">
        <f t="shared" ca="1" si="337"/>
        <v>23</v>
      </c>
      <c r="Q714" s="357">
        <f t="shared" ca="1" si="338"/>
        <v>0</v>
      </c>
      <c r="R714" s="359">
        <f t="shared" ca="1" si="339"/>
        <v>0</v>
      </c>
      <c r="S714" s="360">
        <f t="shared" ca="1" si="340"/>
        <v>8.6519999999999992</v>
      </c>
      <c r="T714" s="357">
        <f t="shared" ca="1" si="320"/>
        <v>84.87612</v>
      </c>
      <c r="U714" s="364">
        <f t="shared" ca="1" si="321"/>
        <v>0</v>
      </c>
      <c r="V714" s="359">
        <f t="shared" ca="1" si="322"/>
        <v>1.2164531978035669</v>
      </c>
      <c r="W714" s="357">
        <f t="shared" ca="1" si="323"/>
        <v>50.278549572770586</v>
      </c>
      <c r="X714" s="343"/>
      <c r="Y714" s="367" t="str">
        <f t="shared" ca="1" si="341"/>
        <v/>
      </c>
      <c r="Z714" s="368" t="str">
        <f t="shared" ca="1" si="342"/>
        <v/>
      </c>
      <c r="AA714" s="369" t="str">
        <f t="shared" ca="1" si="343"/>
        <v/>
      </c>
      <c r="AB714" s="344"/>
      <c r="AC714" s="363">
        <f t="shared" ca="1" si="344"/>
        <v>35.000000000000185</v>
      </c>
      <c r="AD714" s="376">
        <f t="shared" ca="1" si="345"/>
        <v>997.67352843952574</v>
      </c>
      <c r="AE714" s="377" t="e">
        <f t="shared" ca="1" si="324"/>
        <v>#N/A</v>
      </c>
      <c r="AF714" s="344"/>
      <c r="AG714" s="359">
        <f t="shared" ca="1" si="346"/>
        <v>3.939270724139595</v>
      </c>
      <c r="AH714" s="357">
        <f t="shared" ca="1" si="347"/>
        <v>-5.7696565860032347</v>
      </c>
    </row>
    <row r="715" spans="1:34" x14ac:dyDescent="0.25">
      <c r="A715" s="402">
        <f t="shared" ca="1" si="325"/>
        <v>0.1</v>
      </c>
      <c r="B715" s="357">
        <f t="shared" ca="1" si="326"/>
        <v>35.100000000000186</v>
      </c>
      <c r="C715" s="342"/>
      <c r="D715" s="359">
        <f t="shared" ca="1" si="327"/>
        <v>-0.82605748270940094</v>
      </c>
      <c r="E715" s="360">
        <f t="shared" ca="1" si="328"/>
        <v>-4.0578058235669392</v>
      </c>
      <c r="F715" s="357">
        <f t="shared" ca="1" si="329"/>
        <v>4.1410335746663485</v>
      </c>
      <c r="G715" s="359">
        <f t="shared" ca="1" si="330"/>
        <v>19.126090933781118</v>
      </c>
      <c r="H715" s="360">
        <f t="shared" ca="1" si="331"/>
        <v>-134.1642120524811</v>
      </c>
      <c r="I715" s="357">
        <f t="shared" ca="1" si="332"/>
        <v>135.52063735856021</v>
      </c>
      <c r="J715" s="359">
        <f t="shared" ca="1" si="333"/>
        <v>999.59026782031742</v>
      </c>
      <c r="K715" s="360">
        <f t="shared" ca="1" si="334"/>
        <v>56.617925059308376</v>
      </c>
      <c r="L715" s="357">
        <f t="shared" ca="1" si="319"/>
        <v>1001.1924355283131</v>
      </c>
      <c r="M715" s="359">
        <f t="shared" ca="1" si="335"/>
        <v>-1.4291931078212829</v>
      </c>
      <c r="N715" s="357">
        <f t="shared" ca="1" si="336"/>
        <v>-81.886733187345115</v>
      </c>
      <c r="O715" s="343"/>
      <c r="P715" s="363">
        <f t="shared" ca="1" si="337"/>
        <v>23</v>
      </c>
      <c r="Q715" s="357">
        <f t="shared" ca="1" si="338"/>
        <v>0</v>
      </c>
      <c r="R715" s="359">
        <f t="shared" ca="1" si="339"/>
        <v>0</v>
      </c>
      <c r="S715" s="360">
        <f t="shared" ca="1" si="340"/>
        <v>8.6519999999999992</v>
      </c>
      <c r="T715" s="357">
        <f t="shared" ca="1" si="320"/>
        <v>84.87612</v>
      </c>
      <c r="U715" s="364">
        <f t="shared" ca="1" si="321"/>
        <v>0</v>
      </c>
      <c r="V715" s="359">
        <f t="shared" ca="1" si="322"/>
        <v>1.2180838829899636</v>
      </c>
      <c r="W715" s="357">
        <f t="shared" ca="1" si="323"/>
        <v>50.636967101450992</v>
      </c>
      <c r="X715" s="343"/>
      <c r="Y715" s="367" t="str">
        <f t="shared" ca="1" si="341"/>
        <v/>
      </c>
      <c r="Z715" s="368" t="str">
        <f t="shared" ca="1" si="342"/>
        <v/>
      </c>
      <c r="AA715" s="369" t="str">
        <f t="shared" ca="1" si="343"/>
        <v/>
      </c>
      <c r="AB715" s="344"/>
      <c r="AC715" s="363" t="e">
        <f t="shared" ca="1" si="344"/>
        <v>#N/A</v>
      </c>
      <c r="AD715" s="376" t="e">
        <f t="shared" ca="1" si="345"/>
        <v>#N/A</v>
      </c>
      <c r="AE715" s="377" t="e">
        <f t="shared" ca="1" si="324"/>
        <v>#N/A</v>
      </c>
      <c r="AF715" s="344"/>
      <c r="AG715" s="359">
        <f t="shared" ca="1" si="346"/>
        <v>3.8991765562079763</v>
      </c>
      <c r="AH715" s="357">
        <f t="shared" ca="1" si="347"/>
        <v>-5.8112054522388572</v>
      </c>
    </row>
    <row r="716" spans="1:34" x14ac:dyDescent="0.25">
      <c r="A716" s="402">
        <f t="shared" ca="1" si="325"/>
        <v>0.1</v>
      </c>
      <c r="B716" s="357">
        <f t="shared" ca="1" si="326"/>
        <v>35.200000000000188</v>
      </c>
      <c r="C716" s="342"/>
      <c r="D716" s="359">
        <f t="shared" ca="1" si="327"/>
        <v>-0.82598461050321736</v>
      </c>
      <c r="E716" s="360">
        <f t="shared" ca="1" si="328"/>
        <v>-4.0159475289898348</v>
      </c>
      <c r="F716" s="357">
        <f t="shared" ca="1" si="329"/>
        <v>4.1000103819853573</v>
      </c>
      <c r="G716" s="359">
        <f t="shared" ca="1" si="330"/>
        <v>19.043492472730797</v>
      </c>
      <c r="H716" s="360">
        <f t="shared" ca="1" si="331"/>
        <v>-134.56580680538008</v>
      </c>
      <c r="I716" s="357">
        <f t="shared" ca="1" si="332"/>
        <v>135.90662591184372</v>
      </c>
      <c r="J716" s="359">
        <f t="shared" ca="1" si="333"/>
        <v>1001.498746990643</v>
      </c>
      <c r="K716" s="360">
        <f t="shared" ca="1" si="334"/>
        <v>43.181424116415315</v>
      </c>
      <c r="L716" s="357">
        <f t="shared" ca="1" si="319"/>
        <v>1002.4292372095647</v>
      </c>
      <c r="M716" s="359">
        <f t="shared" ca="1" si="335"/>
        <v>-1.4302118146858944</v>
      </c>
      <c r="N716" s="357">
        <f t="shared" ca="1" si="336"/>
        <v>-81.945100791248365</v>
      </c>
      <c r="O716" s="343"/>
      <c r="P716" s="363">
        <f t="shared" ca="1" si="337"/>
        <v>23</v>
      </c>
      <c r="Q716" s="357">
        <f t="shared" ca="1" si="338"/>
        <v>0</v>
      </c>
      <c r="R716" s="359">
        <f t="shared" ca="1" si="339"/>
        <v>0</v>
      </c>
      <c r="S716" s="360">
        <f t="shared" ca="1" si="340"/>
        <v>8.6519999999999992</v>
      </c>
      <c r="T716" s="357">
        <f t="shared" ca="1" si="320"/>
        <v>84.87612</v>
      </c>
      <c r="U716" s="364">
        <f t="shared" ca="1" si="321"/>
        <v>0</v>
      </c>
      <c r="V716" s="359">
        <f t="shared" ca="1" si="322"/>
        <v>1.2197216718321016</v>
      </c>
      <c r="W716" s="357">
        <f t="shared" ca="1" si="323"/>
        <v>50.994298216779789</v>
      </c>
      <c r="X716" s="343"/>
      <c r="Y716" s="367" t="str">
        <f t="shared" ca="1" si="341"/>
        <v/>
      </c>
      <c r="Z716" s="368" t="str">
        <f t="shared" ca="1" si="342"/>
        <v/>
      </c>
      <c r="AA716" s="369" t="str">
        <f t="shared" ca="1" si="343"/>
        <v/>
      </c>
      <c r="AB716" s="344"/>
      <c r="AC716" s="363" t="e">
        <f t="shared" ca="1" si="344"/>
        <v>#N/A</v>
      </c>
      <c r="AD716" s="376" t="e">
        <f t="shared" ca="1" si="345"/>
        <v>#N/A</v>
      </c>
      <c r="AE716" s="377" t="e">
        <f t="shared" ca="1" si="324"/>
        <v>#N/A</v>
      </c>
      <c r="AF716" s="344"/>
      <c r="AG716" s="359">
        <f t="shared" ca="1" si="346"/>
        <v>3.8591803380978265</v>
      </c>
      <c r="AH716" s="357">
        <f t="shared" ca="1" si="347"/>
        <v>-5.8526314264275312</v>
      </c>
    </row>
    <row r="717" spans="1:34" x14ac:dyDescent="0.25">
      <c r="A717" s="402">
        <f t="shared" ca="1" si="325"/>
        <v>0.1</v>
      </c>
      <c r="B717" s="357">
        <f t="shared" ca="1" si="326"/>
        <v>35.300000000000189</v>
      </c>
      <c r="C717" s="342"/>
      <c r="D717" s="359">
        <f t="shared" ca="1" si="327"/>
        <v>-0.82586883265123034</v>
      </c>
      <c r="E717" s="360">
        <f t="shared" ca="1" si="328"/>
        <v>-3.9742161520389496</v>
      </c>
      <c r="F717" s="357">
        <f t="shared" ca="1" si="329"/>
        <v>4.0591197755020705</v>
      </c>
      <c r="G717" s="359">
        <f t="shared" ca="1" si="330"/>
        <v>18.960905589465675</v>
      </c>
      <c r="H717" s="360">
        <f t="shared" ca="1" si="331"/>
        <v>-134.96322842058396</v>
      </c>
      <c r="I717" s="357">
        <f t="shared" ca="1" si="332"/>
        <v>136.28862376031006</v>
      </c>
      <c r="J717" s="359">
        <f t="shared" ca="1" si="333"/>
        <v>1003.3989668937528</v>
      </c>
      <c r="K717" s="360">
        <f t="shared" ca="1" si="334"/>
        <v>29.704972355117114</v>
      </c>
      <c r="L717" s="357">
        <f t="shared" ca="1" si="319"/>
        <v>1003.8385687679413</v>
      </c>
      <c r="M717" s="359">
        <f t="shared" ca="1" si="335"/>
        <v>-1.4312204065091167</v>
      </c>
      <c r="N717" s="357">
        <f t="shared" ca="1" si="336"/>
        <v>-82.002888845970404</v>
      </c>
      <c r="O717" s="343"/>
      <c r="P717" s="363">
        <f t="shared" ca="1" si="337"/>
        <v>23</v>
      </c>
      <c r="Q717" s="357">
        <f t="shared" ca="1" si="338"/>
        <v>0</v>
      </c>
      <c r="R717" s="359">
        <f t="shared" ca="1" si="339"/>
        <v>0</v>
      </c>
      <c r="S717" s="360">
        <f t="shared" ca="1" si="340"/>
        <v>8.6519999999999992</v>
      </c>
      <c r="T717" s="357">
        <f t="shared" ca="1" si="320"/>
        <v>84.87612</v>
      </c>
      <c r="U717" s="364">
        <f t="shared" ca="1" si="321"/>
        <v>0</v>
      </c>
      <c r="V717" s="359">
        <f t="shared" ca="1" si="322"/>
        <v>1.2213665374816813</v>
      </c>
      <c r="W717" s="357">
        <f t="shared" ca="1" si="323"/>
        <v>51.350520159437572</v>
      </c>
      <c r="X717" s="343"/>
      <c r="Y717" s="367" t="str">
        <f t="shared" ca="1" si="341"/>
        <v/>
      </c>
      <c r="Z717" s="368" t="str">
        <f t="shared" ca="1" si="342"/>
        <v/>
      </c>
      <c r="AA717" s="369" t="str">
        <f t="shared" ca="1" si="343"/>
        <v/>
      </c>
      <c r="AB717" s="344"/>
      <c r="AC717" s="363" t="e">
        <f t="shared" ca="1" si="344"/>
        <v>#N/A</v>
      </c>
      <c r="AD717" s="376" t="e">
        <f t="shared" ca="1" si="345"/>
        <v>#N/A</v>
      </c>
      <c r="AE717" s="377" t="e">
        <f t="shared" ca="1" si="324"/>
        <v>#N/A</v>
      </c>
      <c r="AF717" s="344"/>
      <c r="AG717" s="359">
        <f t="shared" ca="1" si="346"/>
        <v>3.8192852816221894</v>
      </c>
      <c r="AH717" s="357">
        <f t="shared" ca="1" si="347"/>
        <v>-5.8939318327299812</v>
      </c>
    </row>
    <row r="718" spans="1:34" x14ac:dyDescent="0.25">
      <c r="A718" s="402">
        <f t="shared" ca="1" si="325"/>
        <v>0.1</v>
      </c>
      <c r="B718" s="357">
        <f t="shared" ca="1" si="326"/>
        <v>35.40000000000019</v>
      </c>
      <c r="C718" s="342"/>
      <c r="D718" s="359">
        <f t="shared" ca="1" si="327"/>
        <v>-0.82571049786042239</v>
      </c>
      <c r="E718" s="360">
        <f t="shared" ca="1" si="328"/>
        <v>-3.9326143442260149</v>
      </c>
      <c r="F718" s="357">
        <f t="shared" ca="1" si="329"/>
        <v>4.0183645188918735</v>
      </c>
      <c r="G718" s="359">
        <f t="shared" ca="1" si="330"/>
        <v>18.878334539679631</v>
      </c>
      <c r="H718" s="360">
        <f t="shared" ca="1" si="331"/>
        <v>-135.35648985500657</v>
      </c>
      <c r="I718" s="357">
        <f t="shared" ca="1" si="332"/>
        <v>136.66664136086962</v>
      </c>
      <c r="J718" s="359">
        <f t="shared" ca="1" si="333"/>
        <v>1005.29092890021</v>
      </c>
      <c r="K718" s="360">
        <f t="shared" ca="1" si="334"/>
        <v>16.18898644133759</v>
      </c>
      <c r="L718" s="357">
        <f t="shared" ca="1" si="319"/>
        <v>1005.4212724082602</v>
      </c>
      <c r="M718" s="359">
        <f t="shared" ca="1" si="335"/>
        <v>-1.432219039772197</v>
      </c>
      <c r="N718" s="357">
        <f t="shared" ca="1" si="336"/>
        <v>-82.060106317226285</v>
      </c>
      <c r="O718" s="343"/>
      <c r="P718" s="363">
        <f t="shared" ca="1" si="337"/>
        <v>23</v>
      </c>
      <c r="Q718" s="357">
        <f t="shared" ca="1" si="338"/>
        <v>0</v>
      </c>
      <c r="R718" s="359">
        <f t="shared" ca="1" si="339"/>
        <v>0</v>
      </c>
      <c r="S718" s="360">
        <f t="shared" ca="1" si="340"/>
        <v>8.6519999999999992</v>
      </c>
      <c r="T718" s="357">
        <f t="shared" ca="1" si="320"/>
        <v>84.87612</v>
      </c>
      <c r="U718" s="364">
        <f t="shared" ca="1" si="321"/>
        <v>0</v>
      </c>
      <c r="V718" s="359">
        <f t="shared" ca="1" si="322"/>
        <v>1.2230184531227126</v>
      </c>
      <c r="W718" s="357">
        <f t="shared" ca="1" si="323"/>
        <v>51.705610562352469</v>
      </c>
      <c r="X718" s="343"/>
      <c r="Y718" s="367" t="str">
        <f t="shared" ca="1" si="341"/>
        <v/>
      </c>
      <c r="Z718" s="368" t="str">
        <f t="shared" ca="1" si="342"/>
        <v/>
      </c>
      <c r="AA718" s="369" t="str">
        <f t="shared" ca="1" si="343"/>
        <v/>
      </c>
      <c r="AB718" s="344"/>
      <c r="AC718" s="363" t="e">
        <f t="shared" ca="1" si="344"/>
        <v>#N/A</v>
      </c>
      <c r="AD718" s="376" t="e">
        <f t="shared" ca="1" si="345"/>
        <v>#N/A</v>
      </c>
      <c r="AE718" s="377" t="e">
        <f t="shared" ca="1" si="324"/>
        <v>#N/A</v>
      </c>
      <c r="AF718" s="344"/>
      <c r="AG718" s="359">
        <f t="shared" ca="1" si="346"/>
        <v>3.7794945390422718</v>
      </c>
      <c r="AH718" s="357">
        <f t="shared" ca="1" si="347"/>
        <v>-5.9351040406192297</v>
      </c>
    </row>
    <row r="719" spans="1:34" x14ac:dyDescent="0.25">
      <c r="A719" s="402">
        <f t="shared" ca="1" si="325"/>
        <v>0.1</v>
      </c>
      <c r="B719" s="357">
        <f t="shared" ca="1" si="326"/>
        <v>35.500000000000192</v>
      </c>
      <c r="C719" s="342"/>
      <c r="D719" s="359">
        <f t="shared" ca="1" si="327"/>
        <v>-0.82550995781298331</v>
      </c>
      <c r="E719" s="360">
        <f t="shared" ca="1" si="328"/>
        <v>-3.8911447114118021</v>
      </c>
      <c r="F719" s="357">
        <f t="shared" ca="1" si="329"/>
        <v>3.9777473343082552</v>
      </c>
      <c r="G719" s="359">
        <f t="shared" ca="1" si="330"/>
        <v>18.795783543898334</v>
      </c>
      <c r="H719" s="360">
        <f t="shared" ca="1" si="331"/>
        <v>-135.74560432614774</v>
      </c>
      <c r="I719" s="357">
        <f t="shared" ca="1" si="332"/>
        <v>137.04068947907456</v>
      </c>
      <c r="J719" s="359">
        <f t="shared" ca="1" si="333"/>
        <v>1007.1746348043889</v>
      </c>
      <c r="K719" s="360">
        <f t="shared" ca="1" si="334"/>
        <v>2.6338817322798747</v>
      </c>
      <c r="L719" s="357">
        <f t="shared" ca="1" si="319"/>
        <v>1007.1780787558542</v>
      </c>
      <c r="M719" s="359">
        <f t="shared" ca="1" si="335"/>
        <v>-1.4332078676444877</v>
      </c>
      <c r="N719" s="357">
        <f t="shared" ca="1" si="336"/>
        <v>-82.116761980973436</v>
      </c>
      <c r="O719" s="343"/>
      <c r="P719" s="363">
        <f t="shared" ca="1" si="337"/>
        <v>23</v>
      </c>
      <c r="Q719" s="357">
        <f t="shared" ca="1" si="338"/>
        <v>0</v>
      </c>
      <c r="R719" s="359">
        <f t="shared" ca="1" si="339"/>
        <v>0</v>
      </c>
      <c r="S719" s="360">
        <f t="shared" ca="1" si="340"/>
        <v>8.6519999999999992</v>
      </c>
      <c r="T719" s="357">
        <f t="shared" ca="1" si="320"/>
        <v>84.87612</v>
      </c>
      <c r="U719" s="364">
        <f t="shared" ca="1" si="321"/>
        <v>0</v>
      </c>
      <c r="V719" s="359">
        <f t="shared" ca="1" si="322"/>
        <v>1.2246773919733651</v>
      </c>
      <c r="W719" s="357">
        <f t="shared" ca="1" si="323"/>
        <v>52.059547450796359</v>
      </c>
      <c r="X719" s="343"/>
      <c r="Y719" s="367" t="str">
        <f t="shared" ca="1" si="341"/>
        <v/>
      </c>
      <c r="Z719" s="368" t="str">
        <f t="shared" ca="1" si="342"/>
        <v/>
      </c>
      <c r="AA719" s="369" t="str">
        <f t="shared" ca="1" si="343"/>
        <v/>
      </c>
      <c r="AB719" s="344"/>
      <c r="AC719" s="363" t="e">
        <f t="shared" ca="1" si="344"/>
        <v>#N/A</v>
      </c>
      <c r="AD719" s="376" t="e">
        <f t="shared" ca="1" si="345"/>
        <v>#N/A</v>
      </c>
      <c r="AE719" s="377" t="e">
        <f t="shared" ca="1" si="324"/>
        <v>#N/A</v>
      </c>
      <c r="AF719" s="344"/>
      <c r="AG719" s="359">
        <f t="shared" ca="1" si="346"/>
        <v>3.7398112034930282</v>
      </c>
      <c r="AH719" s="357">
        <f t="shared" ca="1" si="347"/>
        <v>-5.9761454649043539</v>
      </c>
    </row>
    <row r="720" spans="1:34" x14ac:dyDescent="0.25">
      <c r="A720" s="402">
        <f t="shared" ca="1" si="325"/>
        <v>0.1</v>
      </c>
      <c r="B720" s="357">
        <f t="shared" ca="1" si="326"/>
        <v>35.600000000000193</v>
      </c>
      <c r="C720" s="342"/>
      <c r="D720" s="359">
        <f t="shared" ca="1" si="327"/>
        <v>-0.82526756705343296</v>
      </c>
      <c r="E720" s="360">
        <f t="shared" ca="1" si="328"/>
        <v>-3.8498098137917234</v>
      </c>
      <c r="F720" s="357">
        <f t="shared" ca="1" si="329"/>
        <v>3.9372709024903729</v>
      </c>
      <c r="G720" s="359">
        <f t="shared" ca="1" si="330"/>
        <v>18.713256787192993</v>
      </c>
      <c r="H720" s="360">
        <f t="shared" ca="1" si="331"/>
        <v>-136.13058530752693</v>
      </c>
      <c r="I720" s="357">
        <f t="shared" ca="1" si="332"/>
        <v>137.41077918326965</v>
      </c>
      <c r="J720" s="359">
        <f t="shared" ca="1" si="333"/>
        <v>1009.0500868209435</v>
      </c>
      <c r="K720" s="360">
        <f t="shared" ca="1" si="334"/>
        <v>-10.95992774940386</v>
      </c>
      <c r="L720" s="357">
        <f t="shared" ca="1" si="319"/>
        <v>1009.1096064004275</v>
      </c>
      <c r="M720" s="359">
        <f t="shared" ca="1" si="335"/>
        <v>-1.4341870400692651</v>
      </c>
      <c r="N720" s="357">
        <f t="shared" ca="1" si="336"/>
        <v>-82.172864428328779</v>
      </c>
      <c r="O720" s="343"/>
      <c r="P720" s="363">
        <f t="shared" ca="1" si="337"/>
        <v>23</v>
      </c>
      <c r="Q720" s="357">
        <f t="shared" ca="1" si="338"/>
        <v>0</v>
      </c>
      <c r="R720" s="359">
        <f t="shared" ca="1" si="339"/>
        <v>0</v>
      </c>
      <c r="S720" s="360">
        <f t="shared" ca="1" si="340"/>
        <v>8.6519999999999992</v>
      </c>
      <c r="T720" s="357">
        <f t="shared" ca="1" si="320"/>
        <v>84.87612</v>
      </c>
      <c r="U720" s="364">
        <f t="shared" ca="1" si="321"/>
        <v>0</v>
      </c>
      <c r="V720" s="359">
        <f t="shared" ca="1" si="322"/>
        <v>1.2263433272878033</v>
      </c>
      <c r="W720" s="357">
        <f t="shared" ca="1" si="323"/>
        <v>52.41230924237361</v>
      </c>
      <c r="X720" s="343"/>
      <c r="Y720" s="367" t="str">
        <f t="shared" ca="1" si="341"/>
        <v>Impact balistique</v>
      </c>
      <c r="Z720" s="368" t="str">
        <f t="shared" ca="1" si="342"/>
        <v/>
      </c>
      <c r="AA720" s="369" t="str">
        <f t="shared" ca="1" si="343"/>
        <v/>
      </c>
      <c r="AB720" s="344"/>
      <c r="AC720" s="363" t="e">
        <f t="shared" ca="1" si="344"/>
        <v>#N/A</v>
      </c>
      <c r="AD720" s="376" t="e">
        <f t="shared" ca="1" si="345"/>
        <v>#N/A</v>
      </c>
      <c r="AE720" s="377" t="e">
        <f t="shared" ca="1" si="324"/>
        <v>#N/A</v>
      </c>
      <c r="AF720" s="344"/>
      <c r="AG720" s="359">
        <f t="shared" ca="1" si="346"/>
        <v>3.7002383094050684</v>
      </c>
      <c r="AH720" s="357">
        <f t="shared" ca="1" si="347"/>
        <v>-6.0170535657416044</v>
      </c>
    </row>
    <row r="721" spans="1:34" x14ac:dyDescent="0.25">
      <c r="A721" s="402">
        <f t="shared" ca="1" si="325"/>
        <v>1E-4</v>
      </c>
      <c r="B721" s="357">
        <f t="shared" ca="1" si="326"/>
        <v>35.600100000000197</v>
      </c>
      <c r="C721" s="342"/>
      <c r="D721" s="359">
        <f t="shared" ca="1" si="327"/>
        <v>-0.82498368287666934</v>
      </c>
      <c r="E721" s="360">
        <f t="shared" ca="1" si="328"/>
        <v>-3.8086121658940737</v>
      </c>
      <c r="F721" s="357">
        <f t="shared" ca="1" si="329"/>
        <v>3.8969378628878726</v>
      </c>
      <c r="G721" s="359">
        <f t="shared" ca="1" si="330"/>
        <v>18.713174288824707</v>
      </c>
      <c r="H721" s="360">
        <f t="shared" ca="1" si="331"/>
        <v>-136.13096616874353</v>
      </c>
      <c r="I721" s="357">
        <f t="shared" ca="1" si="332"/>
        <v>137.41114526121788</v>
      </c>
      <c r="J721" s="359">
        <f t="shared" ca="1" si="333"/>
        <v>1009.0500868209435</v>
      </c>
      <c r="K721" s="360">
        <f t="shared" ca="1" si="334"/>
        <v>-10.973540826977674</v>
      </c>
      <c r="L721" s="357">
        <f t="shared" ca="1" si="319"/>
        <v>1009.1097543437161</v>
      </c>
      <c r="M721" s="359">
        <f t="shared" ca="1" si="335"/>
        <v>-1.4341880123140516</v>
      </c>
      <c r="N721" s="357">
        <f t="shared" ca="1" si="336"/>
        <v>-82.17292013385169</v>
      </c>
      <c r="O721" s="343"/>
      <c r="P721" s="363">
        <f t="shared" ca="1" si="337"/>
        <v>23</v>
      </c>
      <c r="Q721" s="357">
        <f t="shared" ca="1" si="338"/>
        <v>0</v>
      </c>
      <c r="R721" s="359">
        <f t="shared" ca="1" si="339"/>
        <v>0</v>
      </c>
      <c r="S721" s="360">
        <f t="shared" ca="1" si="340"/>
        <v>8.6519999999999992</v>
      </c>
      <c r="T721" s="357">
        <f t="shared" ca="1" si="320"/>
        <v>84.87612</v>
      </c>
      <c r="U721" s="364">
        <f t="shared" ca="1" si="321"/>
        <v>0</v>
      </c>
      <c r="V721" s="359">
        <f t="shared" ca="1" si="322"/>
        <v>1.2263449967201256</v>
      </c>
      <c r="W721" s="357">
        <f t="shared" ca="1" si="323"/>
        <v>52.412659857187897</v>
      </c>
      <c r="X721" s="343"/>
      <c r="Y721" s="367" t="str">
        <f t="shared" ca="1" si="341"/>
        <v/>
      </c>
      <c r="Z721" s="368" t="str">
        <f t="shared" ca="1" si="342"/>
        <v/>
      </c>
      <c r="AA721" s="369" t="str">
        <f t="shared" ca="1" si="343"/>
        <v/>
      </c>
      <c r="AB721" s="344"/>
      <c r="AC721" s="363" t="e">
        <f t="shared" ca="1" si="344"/>
        <v>#N/A</v>
      </c>
      <c r="AD721" s="376" t="e">
        <f t="shared" ca="1" si="345"/>
        <v>#N/A</v>
      </c>
      <c r="AE721" s="377" t="e">
        <f t="shared" ca="1" si="324"/>
        <v>#N/A</v>
      </c>
      <c r="AF721" s="344"/>
      <c r="AG721" s="359">
        <f t="shared" ca="1" si="346"/>
        <v>3.6607788329233122</v>
      </c>
      <c r="AH721" s="357">
        <f t="shared" ca="1" si="347"/>
        <v>-6.0578258486331036</v>
      </c>
    </row>
    <row r="722" spans="1:34" x14ac:dyDescent="0.25">
      <c r="A722" s="402">
        <f t="shared" ca="1" si="325"/>
        <v>1E-4</v>
      </c>
      <c r="B722" s="357">
        <f t="shared" ca="1" si="326"/>
        <v>35.6002000000002</v>
      </c>
      <c r="C722" s="342"/>
      <c r="D722" s="359">
        <f t="shared" ca="1" si="327"/>
        <v>-0.82498336678961237</v>
      </c>
      <c r="E722" s="360">
        <f t="shared" ca="1" si="328"/>
        <v>-3.8085712172156354</v>
      </c>
      <c r="F722" s="357">
        <f t="shared" ca="1" si="329"/>
        <v>3.8968977754212273</v>
      </c>
      <c r="G722" s="359">
        <f t="shared" ca="1" si="330"/>
        <v>18.713091790488029</v>
      </c>
      <c r="H722" s="360">
        <f t="shared" ca="1" si="331"/>
        <v>-136.13134702586524</v>
      </c>
      <c r="I722" s="357">
        <f t="shared" ca="1" si="332"/>
        <v>137.4115113352436</v>
      </c>
      <c r="J722" s="359">
        <f t="shared" ca="1" si="333"/>
        <v>1009.0500868209435</v>
      </c>
      <c r="K722" s="360">
        <f t="shared" ca="1" si="334"/>
        <v>-10.987153942637404</v>
      </c>
      <c r="L722" s="357">
        <f t="shared" ca="1" si="319"/>
        <v>1009.1099024710405</v>
      </c>
      <c r="M722" s="359">
        <f t="shared" ca="1" si="335"/>
        <v>-1.4341889845493714</v>
      </c>
      <c r="N722" s="357">
        <f t="shared" ca="1" si="336"/>
        <v>-82.172975838832215</v>
      </c>
      <c r="O722" s="343"/>
      <c r="P722" s="363">
        <f t="shared" ca="1" si="337"/>
        <v>23</v>
      </c>
      <c r="Q722" s="357">
        <f t="shared" ca="1" si="338"/>
        <v>0</v>
      </c>
      <c r="R722" s="359">
        <f t="shared" ca="1" si="339"/>
        <v>0</v>
      </c>
      <c r="S722" s="360">
        <f t="shared" ca="1" si="340"/>
        <v>8.6519999999999992</v>
      </c>
      <c r="T722" s="357">
        <f t="shared" ca="1" si="320"/>
        <v>84.87612</v>
      </c>
      <c r="U722" s="364">
        <f t="shared" ca="1" si="321"/>
        <v>0</v>
      </c>
      <c r="V722" s="359">
        <f t="shared" ca="1" si="322"/>
        <v>1.2263466661593934</v>
      </c>
      <c r="W722" s="357">
        <f t="shared" ca="1" si="323"/>
        <v>52.41301047081101</v>
      </c>
      <c r="X722" s="343"/>
      <c r="Y722" s="367" t="str">
        <f t="shared" ca="1" si="341"/>
        <v/>
      </c>
      <c r="Z722" s="368" t="str">
        <f t="shared" ca="1" si="342"/>
        <v/>
      </c>
      <c r="AA722" s="369" t="str">
        <f t="shared" ca="1" si="343"/>
        <v/>
      </c>
      <c r="AB722" s="344"/>
      <c r="AC722" s="363" t="e">
        <f t="shared" ca="1" si="344"/>
        <v>#N/A</v>
      </c>
      <c r="AD722" s="376" t="e">
        <f t="shared" ca="1" si="345"/>
        <v>#N/A</v>
      </c>
      <c r="AE722" s="377" t="e">
        <f t="shared" ca="1" si="324"/>
        <v>#N/A</v>
      </c>
      <c r="AF722" s="344"/>
      <c r="AG722" s="359">
        <f t="shared" ca="1" si="346"/>
        <v>3.6607396076764074</v>
      </c>
      <c r="AH722" s="357">
        <f t="shared" ca="1" si="347"/>
        <v>-6.0578663727679034</v>
      </c>
    </row>
    <row r="723" spans="1:34" x14ac:dyDescent="0.25">
      <c r="A723" s="402">
        <f t="shared" ca="1" si="325"/>
        <v>1E-4</v>
      </c>
      <c r="B723" s="357">
        <f t="shared" ca="1" si="326"/>
        <v>35.600300000000203</v>
      </c>
      <c r="C723" s="342"/>
      <c r="D723" s="359">
        <f t="shared" ca="1" si="327"/>
        <v>-0.82498305066177569</v>
      </c>
      <c r="E723" s="360">
        <f t="shared" ca="1" si="328"/>
        <v>-3.8085302686763418</v>
      </c>
      <c r="F723" s="357">
        <f t="shared" ca="1" si="329"/>
        <v>3.8968576880998747</v>
      </c>
      <c r="G723" s="359">
        <f t="shared" ca="1" si="330"/>
        <v>18.713009292182964</v>
      </c>
      <c r="H723" s="360">
        <f t="shared" ca="1" si="331"/>
        <v>-136.13172787889209</v>
      </c>
      <c r="I723" s="357">
        <f t="shared" ca="1" si="332"/>
        <v>137.41187740534679</v>
      </c>
      <c r="J723" s="359">
        <f t="shared" ca="1" si="333"/>
        <v>1009.0500868209435</v>
      </c>
      <c r="K723" s="360">
        <f t="shared" ca="1" si="334"/>
        <v>-11.000767096382642</v>
      </c>
      <c r="L723" s="357">
        <f t="shared" ca="1" si="319"/>
        <v>1009.1100507824023</v>
      </c>
      <c r="M723" s="359">
        <f t="shared" ca="1" si="335"/>
        <v>-1.434189956775225</v>
      </c>
      <c r="N723" s="357">
        <f t="shared" ca="1" si="336"/>
        <v>-82.173031543270355</v>
      </c>
      <c r="O723" s="343"/>
      <c r="P723" s="363">
        <f t="shared" ca="1" si="337"/>
        <v>23</v>
      </c>
      <c r="Q723" s="357">
        <f t="shared" ca="1" si="338"/>
        <v>0</v>
      </c>
      <c r="R723" s="359">
        <f t="shared" ca="1" si="339"/>
        <v>0</v>
      </c>
      <c r="S723" s="360">
        <f t="shared" ca="1" si="340"/>
        <v>8.6519999999999992</v>
      </c>
      <c r="T723" s="357">
        <f t="shared" ca="1" si="320"/>
        <v>84.87612</v>
      </c>
      <c r="U723" s="364">
        <f t="shared" ca="1" si="321"/>
        <v>0</v>
      </c>
      <c r="V723" s="359">
        <f t="shared" ca="1" si="322"/>
        <v>1.2263483356056053</v>
      </c>
      <c r="W723" s="357">
        <f t="shared" ca="1" si="323"/>
        <v>52.413361083242869</v>
      </c>
      <c r="X723" s="343"/>
      <c r="Y723" s="367" t="str">
        <f t="shared" ca="1" si="341"/>
        <v/>
      </c>
      <c r="Z723" s="368" t="str">
        <f t="shared" ca="1" si="342"/>
        <v/>
      </c>
      <c r="AA723" s="369" t="str">
        <f t="shared" ca="1" si="343"/>
        <v/>
      </c>
      <c r="AB723" s="344"/>
      <c r="AC723" s="363" t="e">
        <f t="shared" ca="1" si="344"/>
        <v>#N/A</v>
      </c>
      <c r="AD723" s="376" t="e">
        <f t="shared" ca="1" si="345"/>
        <v>#N/A</v>
      </c>
      <c r="AE723" s="377" t="e">
        <f t="shared" ca="1" si="324"/>
        <v>#N/A</v>
      </c>
      <c r="AF723" s="344"/>
      <c r="AG723" s="359">
        <f t="shared" ca="1" si="346"/>
        <v>3.6607003825453459</v>
      </c>
      <c r="AH723" s="357">
        <f t="shared" ca="1" si="347"/>
        <v>-6.0579068967650267</v>
      </c>
    </row>
    <row r="724" spans="1:34" x14ac:dyDescent="0.25">
      <c r="A724" s="402">
        <f t="shared" ca="1" si="325"/>
        <v>1E-4</v>
      </c>
      <c r="B724" s="357">
        <f t="shared" ca="1" si="326"/>
        <v>35.600400000000207</v>
      </c>
      <c r="C724" s="342"/>
      <c r="D724" s="359">
        <f t="shared" ca="1" si="327"/>
        <v>-0.82498273449315696</v>
      </c>
      <c r="E724" s="360">
        <f t="shared" ca="1" si="328"/>
        <v>-3.8084893202762018</v>
      </c>
      <c r="F724" s="357">
        <f t="shared" ca="1" si="329"/>
        <v>3.8968176009238218</v>
      </c>
      <c r="G724" s="359">
        <f t="shared" ca="1" si="330"/>
        <v>18.712926793909514</v>
      </c>
      <c r="H724" s="360">
        <f t="shared" ca="1" si="331"/>
        <v>-136.13210872782412</v>
      </c>
      <c r="I724" s="357">
        <f t="shared" ca="1" si="332"/>
        <v>137.41224347152749</v>
      </c>
      <c r="J724" s="359">
        <f t="shared" ca="1" si="333"/>
        <v>1009.0500868209435</v>
      </c>
      <c r="K724" s="360">
        <f t="shared" ca="1" si="334"/>
        <v>-11.014380288212978</v>
      </c>
      <c r="L724" s="357">
        <f t="shared" ca="1" si="319"/>
        <v>1009.1101992778028</v>
      </c>
      <c r="M724" s="359">
        <f t="shared" ca="1" si="335"/>
        <v>-1.4341909289916124</v>
      </c>
      <c r="N724" s="357">
        <f t="shared" ca="1" si="336"/>
        <v>-82.173087247166123</v>
      </c>
      <c r="O724" s="343"/>
      <c r="P724" s="363">
        <f t="shared" ca="1" si="337"/>
        <v>23</v>
      </c>
      <c r="Q724" s="357">
        <f t="shared" ca="1" si="338"/>
        <v>0</v>
      </c>
      <c r="R724" s="359">
        <f t="shared" ca="1" si="339"/>
        <v>0</v>
      </c>
      <c r="S724" s="360">
        <f t="shared" ca="1" si="340"/>
        <v>8.6519999999999992</v>
      </c>
      <c r="T724" s="357">
        <f t="shared" ca="1" si="320"/>
        <v>84.87612</v>
      </c>
      <c r="U724" s="364">
        <f t="shared" ca="1" si="321"/>
        <v>0</v>
      </c>
      <c r="V724" s="359">
        <f t="shared" ca="1" si="322"/>
        <v>1.2263500050587615</v>
      </c>
      <c r="W724" s="357">
        <f t="shared" ca="1" si="323"/>
        <v>52.413711694483474</v>
      </c>
      <c r="X724" s="343"/>
      <c r="Y724" s="367" t="str">
        <f t="shared" ca="1" si="341"/>
        <v/>
      </c>
      <c r="Z724" s="368" t="str">
        <f t="shared" ca="1" si="342"/>
        <v/>
      </c>
      <c r="AA724" s="369" t="str">
        <f t="shared" ca="1" si="343"/>
        <v/>
      </c>
      <c r="AB724" s="344"/>
      <c r="AC724" s="363" t="e">
        <f t="shared" ca="1" si="344"/>
        <v>#N/A</v>
      </c>
      <c r="AD724" s="376" t="e">
        <f t="shared" ca="1" si="345"/>
        <v>#N/A</v>
      </c>
      <c r="AE724" s="377" t="e">
        <f t="shared" ca="1" si="324"/>
        <v>#N/A</v>
      </c>
      <c r="AF724" s="344"/>
      <c r="AG724" s="359">
        <f t="shared" ca="1" si="346"/>
        <v>3.6606611575301358</v>
      </c>
      <c r="AH724" s="357">
        <f t="shared" ca="1" si="347"/>
        <v>-6.0579474206244655</v>
      </c>
    </row>
    <row r="725" spans="1:34" x14ac:dyDescent="0.25">
      <c r="A725" s="402">
        <f t="shared" ca="1" si="325"/>
        <v>1E-4</v>
      </c>
      <c r="B725" s="357">
        <f t="shared" ca="1" si="326"/>
        <v>35.60050000000021</v>
      </c>
      <c r="C725" s="342"/>
      <c r="D725" s="359">
        <f t="shared" ca="1" si="327"/>
        <v>-0.82498241828375729</v>
      </c>
      <c r="E725" s="360">
        <f t="shared" ca="1" si="328"/>
        <v>-3.808448372015218</v>
      </c>
      <c r="F725" s="357">
        <f t="shared" ca="1" si="329"/>
        <v>3.8967775138930736</v>
      </c>
      <c r="G725" s="359">
        <f t="shared" ca="1" si="330"/>
        <v>18.712844295667686</v>
      </c>
      <c r="H725" s="360">
        <f t="shared" ca="1" si="331"/>
        <v>-136.13248957266131</v>
      </c>
      <c r="I725" s="357">
        <f t="shared" ca="1" si="332"/>
        <v>137.41260953378566</v>
      </c>
      <c r="J725" s="359">
        <f t="shared" ca="1" si="333"/>
        <v>1009.0500868209435</v>
      </c>
      <c r="K725" s="360">
        <f t="shared" ca="1" si="334"/>
        <v>-11.027993518128003</v>
      </c>
      <c r="L725" s="357">
        <f t="shared" ca="1" si="319"/>
        <v>1009.1103479572438</v>
      </c>
      <c r="M725" s="359">
        <f t="shared" ca="1" si="335"/>
        <v>-1.4341919011985338</v>
      </c>
      <c r="N725" s="357">
        <f t="shared" ca="1" si="336"/>
        <v>-82.173142950519534</v>
      </c>
      <c r="O725" s="343"/>
      <c r="P725" s="363">
        <f t="shared" ca="1" si="337"/>
        <v>23</v>
      </c>
      <c r="Q725" s="357">
        <f t="shared" ca="1" si="338"/>
        <v>0</v>
      </c>
      <c r="R725" s="359">
        <f t="shared" ca="1" si="339"/>
        <v>0</v>
      </c>
      <c r="S725" s="360">
        <f t="shared" ca="1" si="340"/>
        <v>8.6519999999999992</v>
      </c>
      <c r="T725" s="357">
        <f t="shared" ca="1" si="320"/>
        <v>84.87612</v>
      </c>
      <c r="U725" s="364">
        <f t="shared" ca="1" si="321"/>
        <v>0</v>
      </c>
      <c r="V725" s="359">
        <f t="shared" ca="1" si="322"/>
        <v>1.2263516745188625</v>
      </c>
      <c r="W725" s="357">
        <f t="shared" ca="1" si="323"/>
        <v>52.414062304532777</v>
      </c>
      <c r="X725" s="343"/>
      <c r="Y725" s="367" t="str">
        <f t="shared" ca="1" si="341"/>
        <v/>
      </c>
      <c r="Z725" s="368" t="str">
        <f t="shared" ca="1" si="342"/>
        <v/>
      </c>
      <c r="AA725" s="369" t="str">
        <f t="shared" ca="1" si="343"/>
        <v/>
      </c>
      <c r="AB725" s="344"/>
      <c r="AC725" s="363" t="e">
        <f t="shared" ca="1" si="344"/>
        <v>#N/A</v>
      </c>
      <c r="AD725" s="376" t="e">
        <f t="shared" ca="1" si="345"/>
        <v>#N/A</v>
      </c>
      <c r="AE725" s="377" t="e">
        <f t="shared" ca="1" si="324"/>
        <v>#N/A</v>
      </c>
      <c r="AF725" s="344"/>
      <c r="AG725" s="359">
        <f t="shared" ca="1" si="346"/>
        <v>3.6606219326307787</v>
      </c>
      <c r="AH725" s="357">
        <f t="shared" ca="1" si="347"/>
        <v>-6.0579879443462179</v>
      </c>
    </row>
    <row r="726" spans="1:34" x14ac:dyDescent="0.25">
      <c r="A726" s="402">
        <f t="shared" ca="1" si="325"/>
        <v>1E-4</v>
      </c>
      <c r="B726" s="357">
        <f t="shared" ca="1" si="326"/>
        <v>35.600600000000213</v>
      </c>
      <c r="C726" s="342"/>
      <c r="D726" s="359">
        <f t="shared" ca="1" si="327"/>
        <v>-0.82498210203357669</v>
      </c>
      <c r="E726" s="360">
        <f t="shared" ca="1" si="328"/>
        <v>-3.8084074238933923</v>
      </c>
      <c r="F726" s="357">
        <f t="shared" ca="1" si="329"/>
        <v>3.8967374270076296</v>
      </c>
      <c r="G726" s="359">
        <f t="shared" ca="1" si="330"/>
        <v>18.712761797457482</v>
      </c>
      <c r="H726" s="360">
        <f t="shared" ca="1" si="331"/>
        <v>-136.13287041340371</v>
      </c>
      <c r="I726" s="357">
        <f t="shared" ca="1" si="332"/>
        <v>137.4129755921214</v>
      </c>
      <c r="J726" s="359">
        <f t="shared" ca="1" si="333"/>
        <v>1009.0500868209435</v>
      </c>
      <c r="K726" s="360">
        <f t="shared" ca="1" si="334"/>
        <v>-11.041606786127307</v>
      </c>
      <c r="L726" s="357">
        <f t="shared" ca="1" si="319"/>
        <v>1009.1104968207263</v>
      </c>
      <c r="M726" s="359">
        <f t="shared" ca="1" si="335"/>
        <v>-1.4341928733959894</v>
      </c>
      <c r="N726" s="357">
        <f t="shared" ca="1" si="336"/>
        <v>-82.173198653330601</v>
      </c>
      <c r="O726" s="343"/>
      <c r="P726" s="363">
        <f t="shared" ca="1" si="337"/>
        <v>23</v>
      </c>
      <c r="Q726" s="357">
        <f t="shared" ca="1" si="338"/>
        <v>0</v>
      </c>
      <c r="R726" s="359">
        <f t="shared" ca="1" si="339"/>
        <v>0</v>
      </c>
      <c r="S726" s="360">
        <f t="shared" ca="1" si="340"/>
        <v>8.6519999999999992</v>
      </c>
      <c r="T726" s="357">
        <f t="shared" ca="1" si="320"/>
        <v>84.87612</v>
      </c>
      <c r="U726" s="364">
        <f t="shared" ca="1" si="321"/>
        <v>0</v>
      </c>
      <c r="V726" s="359">
        <f t="shared" ca="1" si="322"/>
        <v>1.2263533439859076</v>
      </c>
      <c r="W726" s="357">
        <f t="shared" ca="1" si="323"/>
        <v>52.414412913390812</v>
      </c>
      <c r="X726" s="343"/>
      <c r="Y726" s="367" t="str">
        <f t="shared" ca="1" si="341"/>
        <v/>
      </c>
      <c r="Z726" s="368" t="str">
        <f t="shared" ca="1" si="342"/>
        <v/>
      </c>
      <c r="AA726" s="369" t="str">
        <f t="shared" ca="1" si="343"/>
        <v/>
      </c>
      <c r="AB726" s="344"/>
      <c r="AC726" s="363" t="e">
        <f t="shared" ca="1" si="344"/>
        <v>#N/A</v>
      </c>
      <c r="AD726" s="376" t="e">
        <f t="shared" ca="1" si="345"/>
        <v>#N/A</v>
      </c>
      <c r="AE726" s="377" t="e">
        <f t="shared" ca="1" si="324"/>
        <v>#N/A</v>
      </c>
      <c r="AF726" s="344"/>
      <c r="AG726" s="359">
        <f t="shared" ca="1" si="346"/>
        <v>3.660582707847281</v>
      </c>
      <c r="AH726" s="357">
        <f t="shared" ca="1" si="347"/>
        <v>-6.0580284679302796</v>
      </c>
    </row>
    <row r="727" spans="1:34" x14ac:dyDescent="0.25">
      <c r="A727" s="402">
        <f t="shared" ca="1" si="325"/>
        <v>1E-4</v>
      </c>
      <c r="B727" s="357">
        <f t="shared" ca="1" si="326"/>
        <v>35.600700000000217</v>
      </c>
      <c r="C727" s="342"/>
      <c r="D727" s="359">
        <f t="shared" ca="1" si="327"/>
        <v>-0.8249817857426156</v>
      </c>
      <c r="E727" s="360">
        <f t="shared" ca="1" si="328"/>
        <v>-3.8083664759107219</v>
      </c>
      <c r="F727" s="357">
        <f t="shared" ca="1" si="329"/>
        <v>3.8966973402674894</v>
      </c>
      <c r="G727" s="359">
        <f t="shared" ca="1" si="330"/>
        <v>18.712679299278907</v>
      </c>
      <c r="H727" s="360">
        <f t="shared" ca="1" si="331"/>
        <v>-136.1332512500513</v>
      </c>
      <c r="I727" s="357">
        <f t="shared" ca="1" si="332"/>
        <v>137.41334164653466</v>
      </c>
      <c r="J727" s="359">
        <f t="shared" ca="1" si="333"/>
        <v>1009.0500868209435</v>
      </c>
      <c r="K727" s="360">
        <f t="shared" ca="1" si="334"/>
        <v>-11.05522009221048</v>
      </c>
      <c r="L727" s="357">
        <f t="shared" ca="1" si="319"/>
        <v>1009.110645868252</v>
      </c>
      <c r="M727" s="359">
        <f t="shared" ca="1" si="335"/>
        <v>-1.4341938455839791</v>
      </c>
      <c r="N727" s="357">
        <f t="shared" ca="1" si="336"/>
        <v>-82.173254355599298</v>
      </c>
      <c r="O727" s="343"/>
      <c r="P727" s="363">
        <f t="shared" ca="1" si="337"/>
        <v>23</v>
      </c>
      <c r="Q727" s="357">
        <f t="shared" ca="1" si="338"/>
        <v>0</v>
      </c>
      <c r="R727" s="359">
        <f t="shared" ca="1" si="339"/>
        <v>0</v>
      </c>
      <c r="S727" s="360">
        <f t="shared" ca="1" si="340"/>
        <v>8.6519999999999992</v>
      </c>
      <c r="T727" s="357">
        <f t="shared" ca="1" si="320"/>
        <v>84.87612</v>
      </c>
      <c r="U727" s="364">
        <f t="shared" ca="1" si="321"/>
        <v>0</v>
      </c>
      <c r="V727" s="359">
        <f t="shared" ca="1" si="322"/>
        <v>1.2263550134598973</v>
      </c>
      <c r="W727" s="357">
        <f t="shared" ca="1" si="323"/>
        <v>52.414763521057544</v>
      </c>
      <c r="X727" s="343"/>
      <c r="Y727" s="367" t="str">
        <f t="shared" ca="1" si="341"/>
        <v/>
      </c>
      <c r="Z727" s="368" t="str">
        <f t="shared" ca="1" si="342"/>
        <v/>
      </c>
      <c r="AA727" s="369" t="str">
        <f t="shared" ca="1" si="343"/>
        <v/>
      </c>
      <c r="AB727" s="344"/>
      <c r="AC727" s="363" t="e">
        <f t="shared" ca="1" si="344"/>
        <v>#N/A</v>
      </c>
      <c r="AD727" s="376" t="e">
        <f t="shared" ca="1" si="345"/>
        <v>#N/A</v>
      </c>
      <c r="AE727" s="377" t="e">
        <f t="shared" ca="1" si="324"/>
        <v>#N/A</v>
      </c>
      <c r="AF727" s="344"/>
      <c r="AG727" s="359">
        <f t="shared" ca="1" si="346"/>
        <v>3.66054348317964</v>
      </c>
      <c r="AH727" s="357">
        <f t="shared" ca="1" si="347"/>
        <v>-6.058068991376655</v>
      </c>
    </row>
    <row r="728" spans="1:34" x14ac:dyDescent="0.25">
      <c r="A728" s="402">
        <f t="shared" ca="1" si="325"/>
        <v>1E-4</v>
      </c>
      <c r="B728" s="357">
        <f t="shared" ca="1" si="326"/>
        <v>35.60080000000022</v>
      </c>
      <c r="C728" s="342"/>
      <c r="D728" s="359">
        <f t="shared" ca="1" si="327"/>
        <v>-0.82498146941087658</v>
      </c>
      <c r="E728" s="360">
        <f t="shared" ca="1" si="328"/>
        <v>-3.808325528067213</v>
      </c>
      <c r="F728" s="357">
        <f t="shared" ca="1" si="329"/>
        <v>3.8966572536726587</v>
      </c>
      <c r="G728" s="359">
        <f t="shared" ca="1" si="330"/>
        <v>18.712596801131966</v>
      </c>
      <c r="H728" s="360">
        <f t="shared" ca="1" si="331"/>
        <v>-136.13363208260409</v>
      </c>
      <c r="I728" s="357">
        <f t="shared" ca="1" si="332"/>
        <v>137.41370769702544</v>
      </c>
      <c r="J728" s="359">
        <f t="shared" ca="1" si="333"/>
        <v>1009.0500868209435</v>
      </c>
      <c r="K728" s="360">
        <f t="shared" ca="1" si="334"/>
        <v>-11.068833436377112</v>
      </c>
      <c r="L728" s="357">
        <f t="shared" ca="1" si="319"/>
        <v>1009.1107950998224</v>
      </c>
      <c r="M728" s="359">
        <f t="shared" ca="1" si="335"/>
        <v>-1.4341948177625032</v>
      </c>
      <c r="N728" s="357">
        <f t="shared" ca="1" si="336"/>
        <v>-82.173310057325665</v>
      </c>
      <c r="O728" s="343"/>
      <c r="P728" s="363">
        <f t="shared" ca="1" si="337"/>
        <v>23</v>
      </c>
      <c r="Q728" s="357">
        <f t="shared" ca="1" si="338"/>
        <v>0</v>
      </c>
      <c r="R728" s="359">
        <f t="shared" ca="1" si="339"/>
        <v>0</v>
      </c>
      <c r="S728" s="360">
        <f t="shared" ca="1" si="340"/>
        <v>8.6519999999999992</v>
      </c>
      <c r="T728" s="357">
        <f t="shared" ca="1" si="320"/>
        <v>84.87612</v>
      </c>
      <c r="U728" s="364">
        <f t="shared" ca="1" si="321"/>
        <v>0</v>
      </c>
      <c r="V728" s="359">
        <f t="shared" ca="1" si="322"/>
        <v>1.2263566829408312</v>
      </c>
      <c r="W728" s="357">
        <f t="shared" ca="1" si="323"/>
        <v>52.415114127532888</v>
      </c>
      <c r="X728" s="343"/>
      <c r="Y728" s="367" t="str">
        <f t="shared" ca="1" si="341"/>
        <v/>
      </c>
      <c r="Z728" s="368" t="str">
        <f t="shared" ca="1" si="342"/>
        <v/>
      </c>
      <c r="AA728" s="369" t="str">
        <f t="shared" ca="1" si="343"/>
        <v/>
      </c>
      <c r="AB728" s="344"/>
      <c r="AC728" s="363" t="e">
        <f t="shared" ca="1" si="344"/>
        <v>#N/A</v>
      </c>
      <c r="AD728" s="376" t="e">
        <f t="shared" ca="1" si="345"/>
        <v>#N/A</v>
      </c>
      <c r="AE728" s="377" t="e">
        <f t="shared" ca="1" si="324"/>
        <v>#N/A</v>
      </c>
      <c r="AF728" s="344"/>
      <c r="AG728" s="359">
        <f t="shared" ca="1" si="346"/>
        <v>3.6605042586278556</v>
      </c>
      <c r="AH728" s="357">
        <f t="shared" ca="1" si="347"/>
        <v>-6.0581095146853388</v>
      </c>
    </row>
    <row r="729" spans="1:34" x14ac:dyDescent="0.25">
      <c r="A729" s="402">
        <f t="shared" ca="1" si="325"/>
        <v>1E-4</v>
      </c>
      <c r="B729" s="357">
        <f t="shared" ca="1" si="326"/>
        <v>35.600900000000223</v>
      </c>
      <c r="C729" s="342"/>
      <c r="D729" s="359">
        <f t="shared" ca="1" si="327"/>
        <v>-0.82498115303835684</v>
      </c>
      <c r="E729" s="360">
        <f t="shared" ca="1" si="328"/>
        <v>-3.8082845803628746</v>
      </c>
      <c r="F729" s="357">
        <f t="shared" ca="1" si="329"/>
        <v>3.8966171672231456</v>
      </c>
      <c r="G729" s="359">
        <f t="shared" ca="1" si="330"/>
        <v>18.712514303016661</v>
      </c>
      <c r="H729" s="360">
        <f t="shared" ca="1" si="331"/>
        <v>-136.13401291106214</v>
      </c>
      <c r="I729" s="357">
        <f t="shared" ca="1" si="332"/>
        <v>137.4140737435938</v>
      </c>
      <c r="J729" s="359">
        <f t="shared" ca="1" si="333"/>
        <v>1009.0500868209435</v>
      </c>
      <c r="K729" s="360">
        <f t="shared" ca="1" si="334"/>
        <v>-11.082446818626796</v>
      </c>
      <c r="L729" s="357">
        <f t="shared" ca="1" si="319"/>
        <v>1009.110944515439</v>
      </c>
      <c r="M729" s="359">
        <f t="shared" ca="1" si="335"/>
        <v>-1.434195789931562</v>
      </c>
      <c r="N729" s="357">
        <f t="shared" ca="1" si="336"/>
        <v>-82.173365758509718</v>
      </c>
      <c r="O729" s="343"/>
      <c r="P729" s="363">
        <f t="shared" ca="1" si="337"/>
        <v>23</v>
      </c>
      <c r="Q729" s="357">
        <f t="shared" ca="1" si="338"/>
        <v>0</v>
      </c>
      <c r="R729" s="359">
        <f t="shared" ca="1" si="339"/>
        <v>0</v>
      </c>
      <c r="S729" s="360">
        <f t="shared" ca="1" si="340"/>
        <v>8.6519999999999992</v>
      </c>
      <c r="T729" s="357">
        <f t="shared" ca="1" si="320"/>
        <v>84.87612</v>
      </c>
      <c r="U729" s="364">
        <f t="shared" ca="1" si="321"/>
        <v>0</v>
      </c>
      <c r="V729" s="359">
        <f t="shared" ca="1" si="322"/>
        <v>1.2263583524287094</v>
      </c>
      <c r="W729" s="357">
        <f t="shared" ca="1" si="323"/>
        <v>52.415464732816901</v>
      </c>
      <c r="X729" s="343"/>
      <c r="Y729" s="367" t="str">
        <f t="shared" ca="1" si="341"/>
        <v/>
      </c>
      <c r="Z729" s="368" t="str">
        <f t="shared" ca="1" si="342"/>
        <v/>
      </c>
      <c r="AA729" s="369" t="str">
        <f t="shared" ca="1" si="343"/>
        <v/>
      </c>
      <c r="AB729" s="344"/>
      <c r="AC729" s="363" t="e">
        <f t="shared" ca="1" si="344"/>
        <v>#N/A</v>
      </c>
      <c r="AD729" s="376" t="e">
        <f t="shared" ca="1" si="345"/>
        <v>#N/A</v>
      </c>
      <c r="AE729" s="377" t="e">
        <f t="shared" ca="1" si="324"/>
        <v>#N/A</v>
      </c>
      <c r="AF729" s="344"/>
      <c r="AG729" s="359">
        <f t="shared" ca="1" si="346"/>
        <v>3.6604650341919447</v>
      </c>
      <c r="AH729" s="357">
        <f t="shared" ca="1" si="347"/>
        <v>-6.0581500378563211</v>
      </c>
    </row>
    <row r="730" spans="1:34" x14ac:dyDescent="0.25">
      <c r="A730" s="402">
        <f t="shared" ca="1" si="325"/>
        <v>1E-4</v>
      </c>
      <c r="B730" s="357">
        <f t="shared" ca="1" si="326"/>
        <v>35.601000000000226</v>
      </c>
      <c r="C730" s="342"/>
      <c r="D730" s="359">
        <f t="shared" ca="1" si="327"/>
        <v>-0.82498083662505783</v>
      </c>
      <c r="E730" s="360">
        <f t="shared" ca="1" si="328"/>
        <v>-3.8082436327976978</v>
      </c>
      <c r="F730" s="357">
        <f t="shared" ca="1" si="329"/>
        <v>3.8965770809189424</v>
      </c>
      <c r="G730" s="359">
        <f t="shared" ca="1" si="330"/>
        <v>18.712431804932997</v>
      </c>
      <c r="H730" s="360">
        <f t="shared" ca="1" si="331"/>
        <v>-136.13439373542542</v>
      </c>
      <c r="I730" s="357">
        <f t="shared" ca="1" si="332"/>
        <v>137.41443978623974</v>
      </c>
      <c r="J730" s="359">
        <f t="shared" ca="1" si="333"/>
        <v>1009.0500868209435</v>
      </c>
      <c r="K730" s="360">
        <f t="shared" ca="1" si="334"/>
        <v>-11.096060238959121</v>
      </c>
      <c r="L730" s="357">
        <f t="shared" ca="1" si="319"/>
        <v>1009.111094115103</v>
      </c>
      <c r="M730" s="359">
        <f t="shared" ca="1" si="335"/>
        <v>-1.4341967620911555</v>
      </c>
      <c r="N730" s="357">
        <f t="shared" ca="1" si="336"/>
        <v>-82.173421459151427</v>
      </c>
      <c r="O730" s="343"/>
      <c r="P730" s="363">
        <f t="shared" ca="1" si="337"/>
        <v>23</v>
      </c>
      <c r="Q730" s="357">
        <f t="shared" ca="1" si="338"/>
        <v>0</v>
      </c>
      <c r="R730" s="359">
        <f t="shared" ca="1" si="339"/>
        <v>0</v>
      </c>
      <c r="S730" s="360">
        <f t="shared" ca="1" si="340"/>
        <v>8.6519999999999992</v>
      </c>
      <c r="T730" s="357">
        <f t="shared" ca="1" si="320"/>
        <v>84.87612</v>
      </c>
      <c r="U730" s="364">
        <f t="shared" ca="1" si="321"/>
        <v>0</v>
      </c>
      <c r="V730" s="359">
        <f t="shared" ca="1" si="322"/>
        <v>1.2263600219235322</v>
      </c>
      <c r="W730" s="357">
        <f t="shared" ca="1" si="323"/>
        <v>52.415815336909553</v>
      </c>
      <c r="X730" s="343"/>
      <c r="Y730" s="367" t="str">
        <f t="shared" ca="1" si="341"/>
        <v/>
      </c>
      <c r="Z730" s="368" t="str">
        <f t="shared" ca="1" si="342"/>
        <v/>
      </c>
      <c r="AA730" s="369" t="str">
        <f t="shared" ca="1" si="343"/>
        <v/>
      </c>
      <c r="AB730" s="344"/>
      <c r="AC730" s="363" t="e">
        <f t="shared" ca="1" si="344"/>
        <v>#N/A</v>
      </c>
      <c r="AD730" s="376" t="e">
        <f t="shared" ca="1" si="345"/>
        <v>#N/A</v>
      </c>
      <c r="AE730" s="377" t="e">
        <f t="shared" ca="1" si="324"/>
        <v>#N/A</v>
      </c>
      <c r="AF730" s="344"/>
      <c r="AG730" s="359">
        <f t="shared" ca="1" si="346"/>
        <v>3.6604258098718976</v>
      </c>
      <c r="AH730" s="357">
        <f t="shared" ca="1" si="347"/>
        <v>-6.0581905608896101</v>
      </c>
    </row>
    <row r="731" spans="1:34" x14ac:dyDescent="0.25">
      <c r="A731" s="402">
        <f t="shared" ca="1" si="325"/>
        <v>1E-4</v>
      </c>
      <c r="B731" s="357">
        <f t="shared" ca="1" si="326"/>
        <v>35.60110000000023</v>
      </c>
      <c r="C731" s="342"/>
      <c r="D731" s="359">
        <f t="shared" ca="1" si="327"/>
        <v>-0.82498052017098056</v>
      </c>
      <c r="E731" s="360">
        <f t="shared" ca="1" si="328"/>
        <v>-3.808202685371687</v>
      </c>
      <c r="F731" s="357">
        <f t="shared" ca="1" si="329"/>
        <v>3.8965369947600537</v>
      </c>
      <c r="G731" s="359">
        <f t="shared" ca="1" si="330"/>
        <v>18.712349306880981</v>
      </c>
      <c r="H731" s="360">
        <f t="shared" ca="1" si="331"/>
        <v>-136.13477455569395</v>
      </c>
      <c r="I731" s="357">
        <f t="shared" ca="1" si="332"/>
        <v>137.41480582496322</v>
      </c>
      <c r="J731" s="359">
        <f t="shared" ca="1" si="333"/>
        <v>1009.0500868209435</v>
      </c>
      <c r="K731" s="360">
        <f t="shared" ca="1" si="334"/>
        <v>-11.109673697373676</v>
      </c>
      <c r="L731" s="357">
        <f t="shared" ca="1" si="319"/>
        <v>1009.111243898816</v>
      </c>
      <c r="M731" s="359">
        <f t="shared" ca="1" si="335"/>
        <v>-1.4341977342412839</v>
      </c>
      <c r="N731" s="357">
        <f t="shared" ca="1" si="336"/>
        <v>-82.173477159250837</v>
      </c>
      <c r="O731" s="343"/>
      <c r="P731" s="363">
        <f t="shared" ca="1" si="337"/>
        <v>23</v>
      </c>
      <c r="Q731" s="357">
        <f t="shared" ca="1" si="338"/>
        <v>0</v>
      </c>
      <c r="R731" s="359">
        <f t="shared" ca="1" si="339"/>
        <v>0</v>
      </c>
      <c r="S731" s="360">
        <f t="shared" ca="1" si="340"/>
        <v>8.6519999999999992</v>
      </c>
      <c r="T731" s="357">
        <f t="shared" ca="1" si="320"/>
        <v>84.87612</v>
      </c>
      <c r="U731" s="364">
        <f t="shared" ca="1" si="321"/>
        <v>0</v>
      </c>
      <c r="V731" s="359">
        <f t="shared" ca="1" si="322"/>
        <v>1.226361691425299</v>
      </c>
      <c r="W731" s="357">
        <f t="shared" ca="1" si="323"/>
        <v>52.41616593981076</v>
      </c>
      <c r="X731" s="343"/>
      <c r="Y731" s="367" t="str">
        <f t="shared" ca="1" si="341"/>
        <v/>
      </c>
      <c r="Z731" s="368" t="str">
        <f t="shared" ca="1" si="342"/>
        <v/>
      </c>
      <c r="AA731" s="369" t="str">
        <f t="shared" ca="1" si="343"/>
        <v/>
      </c>
      <c r="AB731" s="344"/>
      <c r="AC731" s="363" t="e">
        <f t="shared" ca="1" si="344"/>
        <v>#N/A</v>
      </c>
      <c r="AD731" s="376" t="e">
        <f t="shared" ca="1" si="345"/>
        <v>#N/A</v>
      </c>
      <c r="AE731" s="377" t="e">
        <f t="shared" ca="1" si="324"/>
        <v>#N/A</v>
      </c>
      <c r="AF731" s="344"/>
      <c r="AG731" s="359">
        <f t="shared" ca="1" si="346"/>
        <v>3.6603865856677169</v>
      </c>
      <c r="AH731" s="357">
        <f t="shared" ca="1" si="347"/>
        <v>-6.0582310837852011</v>
      </c>
    </row>
    <row r="732" spans="1:34" x14ac:dyDescent="0.25">
      <c r="A732" s="402">
        <f t="shared" ca="1" si="325"/>
        <v>1E-4</v>
      </c>
      <c r="B732" s="357">
        <f t="shared" ca="1" si="326"/>
        <v>35.601200000000233</v>
      </c>
      <c r="C732" s="342"/>
      <c r="D732" s="359">
        <f t="shared" ca="1" si="327"/>
        <v>-0.8249802036761239</v>
      </c>
      <c r="E732" s="360">
        <f t="shared" ca="1" si="328"/>
        <v>-3.8081617380848538</v>
      </c>
      <c r="F732" s="357">
        <f t="shared" ca="1" si="329"/>
        <v>3.8964969087464905</v>
      </c>
      <c r="G732" s="359">
        <f t="shared" ca="1" si="330"/>
        <v>18.712266808860612</v>
      </c>
      <c r="H732" s="360">
        <f t="shared" ca="1" si="331"/>
        <v>-136.13515537186777</v>
      </c>
      <c r="I732" s="357">
        <f t="shared" ca="1" si="332"/>
        <v>137.41517185976431</v>
      </c>
      <c r="J732" s="359">
        <f t="shared" ca="1" si="333"/>
        <v>1009.0500868209435</v>
      </c>
      <c r="K732" s="360">
        <f t="shared" ca="1" si="334"/>
        <v>-11.123287193870054</v>
      </c>
      <c r="L732" s="357">
        <f t="shared" ca="1" si="319"/>
        <v>1009.1113938665795</v>
      </c>
      <c r="M732" s="359">
        <f t="shared" ca="1" si="335"/>
        <v>-1.4341987063819472</v>
      </c>
      <c r="N732" s="357">
        <f t="shared" ca="1" si="336"/>
        <v>-82.173532858807945</v>
      </c>
      <c r="O732" s="343"/>
      <c r="P732" s="363">
        <f t="shared" ca="1" si="337"/>
        <v>23</v>
      </c>
      <c r="Q732" s="357">
        <f t="shared" ca="1" si="338"/>
        <v>0</v>
      </c>
      <c r="R732" s="359">
        <f t="shared" ca="1" si="339"/>
        <v>0</v>
      </c>
      <c r="S732" s="360">
        <f t="shared" ca="1" si="340"/>
        <v>8.6519999999999992</v>
      </c>
      <c r="T732" s="357">
        <f t="shared" ca="1" si="320"/>
        <v>84.87612</v>
      </c>
      <c r="U732" s="364">
        <f t="shared" ca="1" si="321"/>
        <v>0</v>
      </c>
      <c r="V732" s="359">
        <f t="shared" ca="1" si="322"/>
        <v>1.2263633609340101</v>
      </c>
      <c r="W732" s="357">
        <f t="shared" ca="1" si="323"/>
        <v>52.416516541520565</v>
      </c>
      <c r="X732" s="343"/>
      <c r="Y732" s="367" t="str">
        <f t="shared" ca="1" si="341"/>
        <v/>
      </c>
      <c r="Z732" s="368" t="str">
        <f t="shared" ca="1" si="342"/>
        <v/>
      </c>
      <c r="AA732" s="369" t="str">
        <f t="shared" ca="1" si="343"/>
        <v/>
      </c>
      <c r="AB732" s="344"/>
      <c r="AC732" s="363" t="e">
        <f t="shared" ca="1" si="344"/>
        <v>#N/A</v>
      </c>
      <c r="AD732" s="376" t="e">
        <f t="shared" ca="1" si="345"/>
        <v>#N/A</v>
      </c>
      <c r="AE732" s="377" t="e">
        <f t="shared" ca="1" si="324"/>
        <v>#N/A</v>
      </c>
      <c r="AF732" s="344"/>
      <c r="AG732" s="359">
        <f t="shared" ca="1" si="346"/>
        <v>3.660347361579416</v>
      </c>
      <c r="AH732" s="357">
        <f t="shared" ca="1" si="347"/>
        <v>-6.0582716065430846</v>
      </c>
    </row>
    <row r="733" spans="1:34" x14ac:dyDescent="0.25">
      <c r="A733" s="402">
        <f t="shared" ca="1" si="325"/>
        <v>1E-4</v>
      </c>
      <c r="B733" s="357">
        <f t="shared" ca="1" si="326"/>
        <v>35.601300000000236</v>
      </c>
      <c r="C733" s="342"/>
      <c r="D733" s="359">
        <f t="shared" ca="1" si="327"/>
        <v>-0.82497988714048998</v>
      </c>
      <c r="E733" s="360">
        <f t="shared" ca="1" si="328"/>
        <v>-3.8081207909371928</v>
      </c>
      <c r="F733" s="357">
        <f t="shared" ca="1" si="329"/>
        <v>3.8964568228782475</v>
      </c>
      <c r="G733" s="359">
        <f t="shared" ca="1" si="330"/>
        <v>18.712184310871898</v>
      </c>
      <c r="H733" s="360">
        <f t="shared" ca="1" si="331"/>
        <v>-136.13553618394687</v>
      </c>
      <c r="I733" s="357">
        <f t="shared" ca="1" si="332"/>
        <v>137.41553789064301</v>
      </c>
      <c r="J733" s="359">
        <f t="shared" ca="1" si="333"/>
        <v>1009.0500868209435</v>
      </c>
      <c r="K733" s="360">
        <f t="shared" ca="1" si="334"/>
        <v>-11.136900728447845</v>
      </c>
      <c r="L733" s="357">
        <f t="shared" ca="1" si="319"/>
        <v>1009.111544018395</v>
      </c>
      <c r="M733" s="359">
        <f t="shared" ca="1" si="335"/>
        <v>-1.4341996785131457</v>
      </c>
      <c r="N733" s="357">
        <f t="shared" ca="1" si="336"/>
        <v>-82.17358855782274</v>
      </c>
      <c r="O733" s="343"/>
      <c r="P733" s="363">
        <f t="shared" ca="1" si="337"/>
        <v>23</v>
      </c>
      <c r="Q733" s="357">
        <f t="shared" ca="1" si="338"/>
        <v>0</v>
      </c>
      <c r="R733" s="359">
        <f t="shared" ca="1" si="339"/>
        <v>0</v>
      </c>
      <c r="S733" s="360">
        <f t="shared" ca="1" si="340"/>
        <v>8.6519999999999992</v>
      </c>
      <c r="T733" s="357">
        <f t="shared" ca="1" si="320"/>
        <v>84.87612</v>
      </c>
      <c r="U733" s="364">
        <f t="shared" ca="1" si="321"/>
        <v>0</v>
      </c>
      <c r="V733" s="359">
        <f t="shared" ca="1" si="322"/>
        <v>1.2263650304496654</v>
      </c>
      <c r="W733" s="357">
        <f t="shared" ca="1" si="323"/>
        <v>52.416867142038932</v>
      </c>
      <c r="X733" s="343"/>
      <c r="Y733" s="367" t="str">
        <f t="shared" ca="1" si="341"/>
        <v/>
      </c>
      <c r="Z733" s="368" t="str">
        <f t="shared" ca="1" si="342"/>
        <v/>
      </c>
      <c r="AA733" s="369" t="str">
        <f t="shared" ca="1" si="343"/>
        <v/>
      </c>
      <c r="AB733" s="344"/>
      <c r="AC733" s="363" t="e">
        <f t="shared" ca="1" si="344"/>
        <v>#N/A</v>
      </c>
      <c r="AD733" s="376" t="e">
        <f t="shared" ca="1" si="345"/>
        <v>#N/A</v>
      </c>
      <c r="AE733" s="377" t="e">
        <f t="shared" ca="1" si="324"/>
        <v>#N/A</v>
      </c>
      <c r="AF733" s="344"/>
      <c r="AG733" s="359">
        <f t="shared" ca="1" si="346"/>
        <v>3.6603081376069886</v>
      </c>
      <c r="AH733" s="357">
        <f t="shared" ca="1" si="347"/>
        <v>-6.0583121291632649</v>
      </c>
    </row>
    <row r="734" spans="1:34" x14ac:dyDescent="0.25">
      <c r="A734" s="402">
        <f t="shared" ca="1" si="325"/>
        <v>1E-4</v>
      </c>
      <c r="B734" s="357">
        <f t="shared" ca="1" si="326"/>
        <v>35.60140000000024</v>
      </c>
      <c r="C734" s="342"/>
      <c r="D734" s="359">
        <f t="shared" ca="1" si="327"/>
        <v>-0.82497957056407856</v>
      </c>
      <c r="E734" s="360">
        <f t="shared" ca="1" si="328"/>
        <v>-3.8080798439287058</v>
      </c>
      <c r="F734" s="357">
        <f t="shared" ca="1" si="329"/>
        <v>3.8964167371553273</v>
      </c>
      <c r="G734" s="359">
        <f t="shared" ca="1" si="330"/>
        <v>18.712101812914842</v>
      </c>
      <c r="H734" s="360">
        <f t="shared" ca="1" si="331"/>
        <v>-136.13591699193125</v>
      </c>
      <c r="I734" s="357">
        <f t="shared" ca="1" si="332"/>
        <v>137.41590391759934</v>
      </c>
      <c r="J734" s="359">
        <f t="shared" ca="1" si="333"/>
        <v>1009.0500868209435</v>
      </c>
      <c r="K734" s="360">
        <f t="shared" ca="1" si="334"/>
        <v>-11.150514301106639</v>
      </c>
      <c r="L734" s="357">
        <f t="shared" ca="1" si="319"/>
        <v>1009.1116943542637</v>
      </c>
      <c r="M734" s="359">
        <f t="shared" ca="1" si="335"/>
        <v>-1.4342006506348792</v>
      </c>
      <c r="N734" s="357">
        <f t="shared" ca="1" si="336"/>
        <v>-82.173644256295248</v>
      </c>
      <c r="O734" s="343"/>
      <c r="P734" s="363">
        <f t="shared" ca="1" si="337"/>
        <v>23</v>
      </c>
      <c r="Q734" s="357">
        <f t="shared" ca="1" si="338"/>
        <v>0</v>
      </c>
      <c r="R734" s="359">
        <f t="shared" ca="1" si="339"/>
        <v>0</v>
      </c>
      <c r="S734" s="360">
        <f t="shared" ca="1" si="340"/>
        <v>8.6519999999999992</v>
      </c>
      <c r="T734" s="357">
        <f t="shared" ca="1" si="320"/>
        <v>84.87612</v>
      </c>
      <c r="U734" s="364">
        <f t="shared" ca="1" si="321"/>
        <v>0</v>
      </c>
      <c r="V734" s="359">
        <f t="shared" ca="1" si="322"/>
        <v>1.2263666999722649</v>
      </c>
      <c r="W734" s="357">
        <f t="shared" ca="1" si="323"/>
        <v>52.417217741365839</v>
      </c>
      <c r="X734" s="343"/>
      <c r="Y734" s="367" t="str">
        <f t="shared" ca="1" si="341"/>
        <v/>
      </c>
      <c r="Z734" s="368" t="str">
        <f t="shared" ca="1" si="342"/>
        <v/>
      </c>
      <c r="AA734" s="369" t="str">
        <f t="shared" ca="1" si="343"/>
        <v/>
      </c>
      <c r="AB734" s="344"/>
      <c r="AC734" s="363" t="e">
        <f t="shared" ca="1" si="344"/>
        <v>#N/A</v>
      </c>
      <c r="AD734" s="376" t="e">
        <f t="shared" ca="1" si="345"/>
        <v>#N/A</v>
      </c>
      <c r="AE734" s="377" t="e">
        <f t="shared" ca="1" si="324"/>
        <v>#N/A</v>
      </c>
      <c r="AF734" s="344"/>
      <c r="AG734" s="359">
        <f t="shared" ca="1" si="346"/>
        <v>3.6602689137504392</v>
      </c>
      <c r="AH734" s="357">
        <f t="shared" ca="1" si="347"/>
        <v>-6.0583526516457393</v>
      </c>
    </row>
    <row r="735" spans="1:34" x14ac:dyDescent="0.25">
      <c r="A735" s="402">
        <f t="shared" ca="1" si="325"/>
        <v>1E-4</v>
      </c>
      <c r="B735" s="357">
        <f t="shared" ca="1" si="326"/>
        <v>35.601500000000243</v>
      </c>
      <c r="C735" s="342"/>
      <c r="D735" s="359">
        <f t="shared" ca="1" si="327"/>
        <v>-0.82497925394689087</v>
      </c>
      <c r="E735" s="360">
        <f t="shared" ca="1" si="328"/>
        <v>-3.8080388970593981</v>
      </c>
      <c r="F735" s="357">
        <f t="shared" ca="1" si="329"/>
        <v>3.8963766515777358</v>
      </c>
      <c r="G735" s="359">
        <f t="shared" ca="1" si="330"/>
        <v>18.712019314989448</v>
      </c>
      <c r="H735" s="360">
        <f t="shared" ca="1" si="331"/>
        <v>-136.13629779582095</v>
      </c>
      <c r="I735" s="357">
        <f t="shared" ca="1" si="332"/>
        <v>137.41626994063324</v>
      </c>
      <c r="J735" s="359">
        <f t="shared" ca="1" si="333"/>
        <v>1009.0500868209435</v>
      </c>
      <c r="K735" s="360">
        <f t="shared" ca="1" si="334"/>
        <v>-11.164127911846027</v>
      </c>
      <c r="L735" s="357">
        <f t="shared" ca="1" si="319"/>
        <v>1009.1118448741872</v>
      </c>
      <c r="M735" s="359">
        <f t="shared" ca="1" si="335"/>
        <v>-1.4342016227471484</v>
      </c>
      <c r="N735" s="357">
        <f t="shared" ca="1" si="336"/>
        <v>-82.173699954225484</v>
      </c>
      <c r="O735" s="343"/>
      <c r="P735" s="363">
        <f t="shared" ca="1" si="337"/>
        <v>23</v>
      </c>
      <c r="Q735" s="357">
        <f t="shared" ca="1" si="338"/>
        <v>0</v>
      </c>
      <c r="R735" s="359">
        <f t="shared" ca="1" si="339"/>
        <v>0</v>
      </c>
      <c r="S735" s="360">
        <f t="shared" ca="1" si="340"/>
        <v>8.6519999999999992</v>
      </c>
      <c r="T735" s="357">
        <f t="shared" ca="1" si="320"/>
        <v>84.87612</v>
      </c>
      <c r="U735" s="364">
        <f t="shared" ca="1" si="321"/>
        <v>0</v>
      </c>
      <c r="V735" s="359">
        <f t="shared" ca="1" si="322"/>
        <v>1.2263683695018086</v>
      </c>
      <c r="W735" s="357">
        <f t="shared" ca="1" si="323"/>
        <v>52.41756833950123</v>
      </c>
      <c r="X735" s="343"/>
      <c r="Y735" s="367" t="str">
        <f t="shared" ca="1" si="341"/>
        <v/>
      </c>
      <c r="Z735" s="368" t="str">
        <f t="shared" ca="1" si="342"/>
        <v/>
      </c>
      <c r="AA735" s="369" t="str">
        <f t="shared" ca="1" si="343"/>
        <v/>
      </c>
      <c r="AB735" s="344"/>
      <c r="AC735" s="363" t="e">
        <f t="shared" ca="1" si="344"/>
        <v>#N/A</v>
      </c>
      <c r="AD735" s="376" t="e">
        <f t="shared" ca="1" si="345"/>
        <v>#N/A</v>
      </c>
      <c r="AE735" s="377" t="e">
        <f t="shared" ca="1" si="324"/>
        <v>#N/A</v>
      </c>
      <c r="AF735" s="344"/>
      <c r="AG735" s="359">
        <f t="shared" ca="1" si="346"/>
        <v>3.6602296900097713</v>
      </c>
      <c r="AH735" s="357">
        <f t="shared" ca="1" si="347"/>
        <v>-6.0583931739905044</v>
      </c>
    </row>
    <row r="736" spans="1:34" x14ac:dyDescent="0.25">
      <c r="A736" s="402">
        <f t="shared" ca="1" si="325"/>
        <v>1E-4</v>
      </c>
      <c r="B736" s="357">
        <f t="shared" ca="1" si="326"/>
        <v>35.601600000000246</v>
      </c>
      <c r="C736" s="342"/>
      <c r="D736" s="359">
        <f t="shared" ca="1" si="327"/>
        <v>-0.82497893728892469</v>
      </c>
      <c r="E736" s="360">
        <f t="shared" ca="1" si="328"/>
        <v>-3.8079979503292751</v>
      </c>
      <c r="F736" s="357">
        <f t="shared" ca="1" si="329"/>
        <v>3.8963365661454765</v>
      </c>
      <c r="G736" s="359">
        <f t="shared" ca="1" si="330"/>
        <v>18.711936817095719</v>
      </c>
      <c r="H736" s="360">
        <f t="shared" ca="1" si="331"/>
        <v>-136.13667859561599</v>
      </c>
      <c r="I736" s="357">
        <f t="shared" ca="1" si="332"/>
        <v>137.41663595974481</v>
      </c>
      <c r="J736" s="359">
        <f t="shared" ca="1" si="333"/>
        <v>1009.0500868209435</v>
      </c>
      <c r="K736" s="360">
        <f t="shared" ca="1" si="334"/>
        <v>-11.177741560665599</v>
      </c>
      <c r="L736" s="357">
        <f t="shared" ca="1" si="319"/>
        <v>1009.1119955781671</v>
      </c>
      <c r="M736" s="359">
        <f t="shared" ca="1" si="335"/>
        <v>-1.434202594849953</v>
      </c>
      <c r="N736" s="357">
        <f t="shared" ca="1" si="336"/>
        <v>-82.173755651613448</v>
      </c>
      <c r="O736" s="343"/>
      <c r="P736" s="363">
        <f t="shared" ca="1" si="337"/>
        <v>23</v>
      </c>
      <c r="Q736" s="357">
        <f t="shared" ca="1" si="338"/>
        <v>0</v>
      </c>
      <c r="R736" s="359">
        <f t="shared" ca="1" si="339"/>
        <v>0</v>
      </c>
      <c r="S736" s="360">
        <f t="shared" ca="1" si="340"/>
        <v>8.6519999999999992</v>
      </c>
      <c r="T736" s="357">
        <f t="shared" ca="1" si="320"/>
        <v>84.87612</v>
      </c>
      <c r="U736" s="364">
        <f t="shared" ca="1" si="321"/>
        <v>0</v>
      </c>
      <c r="V736" s="359">
        <f t="shared" ca="1" si="322"/>
        <v>1.2263700390382968</v>
      </c>
      <c r="W736" s="357">
        <f t="shared" ca="1" si="323"/>
        <v>52.417918936445155</v>
      </c>
      <c r="X736" s="343"/>
      <c r="Y736" s="367" t="str">
        <f t="shared" ca="1" si="341"/>
        <v/>
      </c>
      <c r="Z736" s="368" t="str">
        <f t="shared" ca="1" si="342"/>
        <v/>
      </c>
      <c r="AA736" s="369" t="str">
        <f t="shared" ca="1" si="343"/>
        <v/>
      </c>
      <c r="AB736" s="344"/>
      <c r="AC736" s="363" t="e">
        <f t="shared" ca="1" si="344"/>
        <v>#N/A</v>
      </c>
      <c r="AD736" s="376" t="e">
        <f t="shared" ca="1" si="345"/>
        <v>#N/A</v>
      </c>
      <c r="AE736" s="377" t="e">
        <f t="shared" ca="1" si="324"/>
        <v>#N/A</v>
      </c>
      <c r="AF736" s="344"/>
      <c r="AG736" s="359">
        <f t="shared" ca="1" si="346"/>
        <v>3.6601904663849911</v>
      </c>
      <c r="AH736" s="357">
        <f t="shared" ca="1" si="347"/>
        <v>-6.0584336961975538</v>
      </c>
    </row>
    <row r="737" spans="1:34" x14ac:dyDescent="0.25">
      <c r="A737" s="402">
        <f t="shared" ca="1" si="325"/>
        <v>1E-4</v>
      </c>
      <c r="B737" s="357">
        <f t="shared" ca="1" si="326"/>
        <v>35.60170000000025</v>
      </c>
      <c r="C737" s="342"/>
      <c r="D737" s="359">
        <f t="shared" ca="1" si="327"/>
        <v>-0.82497862059018245</v>
      </c>
      <c r="E737" s="360">
        <f t="shared" ca="1" si="328"/>
        <v>-3.8079570037383306</v>
      </c>
      <c r="F737" s="357">
        <f t="shared" ca="1" si="329"/>
        <v>3.8962964808585454</v>
      </c>
      <c r="G737" s="359">
        <f t="shared" ca="1" si="330"/>
        <v>18.711854319233659</v>
      </c>
      <c r="H737" s="360">
        <f t="shared" ca="1" si="331"/>
        <v>-136.13705939131637</v>
      </c>
      <c r="I737" s="357">
        <f t="shared" ca="1" si="332"/>
        <v>137.41700197493404</v>
      </c>
      <c r="J737" s="359">
        <f t="shared" ca="1" si="333"/>
        <v>1009.0500868209435</v>
      </c>
      <c r="K737" s="360">
        <f t="shared" ca="1" si="334"/>
        <v>-11.191355247564946</v>
      </c>
      <c r="L737" s="357">
        <f t="shared" ca="1" si="319"/>
        <v>1009.1121464662046</v>
      </c>
      <c r="M737" s="359">
        <f t="shared" ca="1" si="335"/>
        <v>-1.4342035669432935</v>
      </c>
      <c r="N737" s="357">
        <f t="shared" ca="1" si="336"/>
        <v>-82.173811348459154</v>
      </c>
      <c r="O737" s="343"/>
      <c r="P737" s="363">
        <f t="shared" ca="1" si="337"/>
        <v>23</v>
      </c>
      <c r="Q737" s="357">
        <f t="shared" ca="1" si="338"/>
        <v>0</v>
      </c>
      <c r="R737" s="359">
        <f t="shared" ca="1" si="339"/>
        <v>0</v>
      </c>
      <c r="S737" s="360">
        <f t="shared" ca="1" si="340"/>
        <v>8.6519999999999992</v>
      </c>
      <c r="T737" s="357">
        <f t="shared" ca="1" si="320"/>
        <v>84.87612</v>
      </c>
      <c r="U737" s="364">
        <f t="shared" ca="1" si="321"/>
        <v>0</v>
      </c>
      <c r="V737" s="359">
        <f t="shared" ca="1" si="322"/>
        <v>1.2263717085817283</v>
      </c>
      <c r="W737" s="357">
        <f t="shared" ca="1" si="323"/>
        <v>52.418269532197527</v>
      </c>
      <c r="X737" s="343"/>
      <c r="Y737" s="367" t="str">
        <f t="shared" ca="1" si="341"/>
        <v/>
      </c>
      <c r="Z737" s="368" t="str">
        <f t="shared" ca="1" si="342"/>
        <v/>
      </c>
      <c r="AA737" s="369" t="str">
        <f t="shared" ca="1" si="343"/>
        <v/>
      </c>
      <c r="AB737" s="344"/>
      <c r="AC737" s="363" t="e">
        <f t="shared" ca="1" si="344"/>
        <v>#N/A</v>
      </c>
      <c r="AD737" s="376" t="e">
        <f t="shared" ca="1" si="345"/>
        <v>#N/A</v>
      </c>
      <c r="AE737" s="377" t="e">
        <f t="shared" ca="1" si="324"/>
        <v>#N/A</v>
      </c>
      <c r="AF737" s="344"/>
      <c r="AG737" s="359">
        <f t="shared" ca="1" si="346"/>
        <v>3.6601512428760934</v>
      </c>
      <c r="AH737" s="357">
        <f t="shared" ca="1" si="347"/>
        <v>-6.0584742182668929</v>
      </c>
    </row>
    <row r="738" spans="1:34" x14ac:dyDescent="0.25">
      <c r="A738" s="402">
        <f t="shared" ca="1" si="325"/>
        <v>1E-4</v>
      </c>
      <c r="B738" s="357">
        <f t="shared" ca="1" si="326"/>
        <v>35.601800000000253</v>
      </c>
      <c r="C738" s="342"/>
      <c r="D738" s="359">
        <f t="shared" ca="1" si="327"/>
        <v>-0.82497830385066329</v>
      </c>
      <c r="E738" s="360">
        <f t="shared" ca="1" si="328"/>
        <v>-3.8079160572865751</v>
      </c>
      <c r="F738" s="357">
        <f t="shared" ca="1" si="329"/>
        <v>3.8962563957169518</v>
      </c>
      <c r="G738" s="359">
        <f t="shared" ca="1" si="330"/>
        <v>18.711771821403275</v>
      </c>
      <c r="H738" s="360">
        <f t="shared" ca="1" si="331"/>
        <v>-136.13744018292209</v>
      </c>
      <c r="I738" s="357">
        <f t="shared" ca="1" si="332"/>
        <v>137.4173679862009</v>
      </c>
      <c r="J738" s="359">
        <f t="shared" ca="1" si="333"/>
        <v>1009.0500868209435</v>
      </c>
      <c r="K738" s="360">
        <f t="shared" ca="1" si="334"/>
        <v>-11.204968972543657</v>
      </c>
      <c r="L738" s="357">
        <f t="shared" ca="1" si="319"/>
        <v>1009.1122975383014</v>
      </c>
      <c r="M738" s="359">
        <f t="shared" ca="1" si="335"/>
        <v>-1.4342045390271698</v>
      </c>
      <c r="N738" s="357">
        <f t="shared" ca="1" si="336"/>
        <v>-82.173867044762588</v>
      </c>
      <c r="O738" s="343"/>
      <c r="P738" s="363">
        <f t="shared" ca="1" si="337"/>
        <v>23</v>
      </c>
      <c r="Q738" s="357">
        <f t="shared" ca="1" si="338"/>
        <v>0</v>
      </c>
      <c r="R738" s="359">
        <f t="shared" ca="1" si="339"/>
        <v>0</v>
      </c>
      <c r="S738" s="360">
        <f t="shared" ca="1" si="340"/>
        <v>8.6519999999999992</v>
      </c>
      <c r="T738" s="357">
        <f t="shared" ca="1" si="320"/>
        <v>84.87612</v>
      </c>
      <c r="U738" s="364">
        <f t="shared" ca="1" si="321"/>
        <v>0</v>
      </c>
      <c r="V738" s="359">
        <f t="shared" ca="1" si="322"/>
        <v>1.2263733781321045</v>
      </c>
      <c r="W738" s="357">
        <f t="shared" ca="1" si="323"/>
        <v>52.418620126758356</v>
      </c>
      <c r="X738" s="343"/>
      <c r="Y738" s="367" t="str">
        <f t="shared" ca="1" si="341"/>
        <v/>
      </c>
      <c r="Z738" s="368" t="str">
        <f t="shared" ca="1" si="342"/>
        <v/>
      </c>
      <c r="AA738" s="369" t="str">
        <f t="shared" ca="1" si="343"/>
        <v/>
      </c>
      <c r="AB738" s="344"/>
      <c r="AC738" s="363" t="e">
        <f t="shared" ca="1" si="344"/>
        <v>#N/A</v>
      </c>
      <c r="AD738" s="376" t="e">
        <f t="shared" ca="1" si="345"/>
        <v>#N/A</v>
      </c>
      <c r="AE738" s="377" t="e">
        <f t="shared" ca="1" si="324"/>
        <v>#N/A</v>
      </c>
      <c r="AF738" s="344"/>
      <c r="AG738" s="359">
        <f t="shared" ca="1" si="346"/>
        <v>3.6601120194830923</v>
      </c>
      <c r="AH738" s="357">
        <f t="shared" ca="1" si="347"/>
        <v>-6.0585147401985129</v>
      </c>
    </row>
    <row r="739" spans="1:34" x14ac:dyDescent="0.25">
      <c r="A739" s="402">
        <f t="shared" ca="1" si="325"/>
        <v>1E-4</v>
      </c>
      <c r="B739" s="357">
        <f t="shared" ca="1" si="326"/>
        <v>35.601900000000256</v>
      </c>
      <c r="C739" s="342"/>
      <c r="D739" s="359">
        <f t="shared" ca="1" si="327"/>
        <v>-0.82497798707036851</v>
      </c>
      <c r="E739" s="360">
        <f t="shared" ca="1" si="328"/>
        <v>-3.807875110974007</v>
      </c>
      <c r="F739" s="357">
        <f t="shared" ca="1" si="329"/>
        <v>3.8962163107206949</v>
      </c>
      <c r="G739" s="359">
        <f t="shared" ca="1" si="330"/>
        <v>18.711689323604567</v>
      </c>
      <c r="H739" s="360">
        <f t="shared" ca="1" si="331"/>
        <v>-136.13782097043318</v>
      </c>
      <c r="I739" s="357">
        <f t="shared" ca="1" si="332"/>
        <v>137.41773399354543</v>
      </c>
      <c r="J739" s="359">
        <f t="shared" ca="1" si="333"/>
        <v>1009.0500868209435</v>
      </c>
      <c r="K739" s="360">
        <f t="shared" ca="1" si="334"/>
        <v>-11.218582735601325</v>
      </c>
      <c r="L739" s="357">
        <f t="shared" ca="1" si="319"/>
        <v>1009.1124487944588</v>
      </c>
      <c r="M739" s="359">
        <f t="shared" ca="1" si="335"/>
        <v>-1.4342055111015819</v>
      </c>
      <c r="N739" s="357">
        <f t="shared" ca="1" si="336"/>
        <v>-82.173922740523778</v>
      </c>
      <c r="O739" s="343"/>
      <c r="P739" s="363">
        <f t="shared" ca="1" si="337"/>
        <v>23</v>
      </c>
      <c r="Q739" s="357">
        <f t="shared" ca="1" si="338"/>
        <v>0</v>
      </c>
      <c r="R739" s="359">
        <f t="shared" ca="1" si="339"/>
        <v>0</v>
      </c>
      <c r="S739" s="360">
        <f t="shared" ca="1" si="340"/>
        <v>8.6519999999999992</v>
      </c>
      <c r="T739" s="357">
        <f t="shared" ca="1" si="320"/>
        <v>84.87612</v>
      </c>
      <c r="U739" s="364">
        <f t="shared" ca="1" si="321"/>
        <v>0</v>
      </c>
      <c r="V739" s="359">
        <f t="shared" ca="1" si="322"/>
        <v>1.2263750476894246</v>
      </c>
      <c r="W739" s="357">
        <f t="shared" ca="1" si="323"/>
        <v>52.418970720127604</v>
      </c>
      <c r="X739" s="343"/>
      <c r="Y739" s="367" t="str">
        <f t="shared" ca="1" si="341"/>
        <v/>
      </c>
      <c r="Z739" s="368" t="str">
        <f t="shared" ca="1" si="342"/>
        <v/>
      </c>
      <c r="AA739" s="369" t="str">
        <f t="shared" ca="1" si="343"/>
        <v/>
      </c>
      <c r="AB739" s="344"/>
      <c r="AC739" s="363" t="e">
        <f t="shared" ca="1" si="344"/>
        <v>#N/A</v>
      </c>
      <c r="AD739" s="376" t="e">
        <f t="shared" ca="1" si="345"/>
        <v>#N/A</v>
      </c>
      <c r="AE739" s="377" t="e">
        <f t="shared" ca="1" si="324"/>
        <v>#N/A</v>
      </c>
      <c r="AF739" s="344"/>
      <c r="AG739" s="359">
        <f t="shared" ca="1" si="346"/>
        <v>3.6600727962059807</v>
      </c>
      <c r="AH739" s="357">
        <f t="shared" ca="1" si="347"/>
        <v>-6.0585552619924137</v>
      </c>
    </row>
    <row r="740" spans="1:34" x14ac:dyDescent="0.25">
      <c r="A740" s="402">
        <f t="shared" ca="1" si="325"/>
        <v>1E-4</v>
      </c>
      <c r="B740" s="357">
        <f t="shared" ca="1" si="326"/>
        <v>35.60200000000026</v>
      </c>
      <c r="C740" s="342"/>
      <c r="D740" s="359">
        <f t="shared" ca="1" si="327"/>
        <v>-0.82497767024929936</v>
      </c>
      <c r="E740" s="360">
        <f t="shared" ca="1" si="328"/>
        <v>-3.8078341648006324</v>
      </c>
      <c r="F740" s="357">
        <f t="shared" ca="1" si="329"/>
        <v>3.8961762258697812</v>
      </c>
      <c r="G740" s="359">
        <f t="shared" ca="1" si="330"/>
        <v>18.711606825837542</v>
      </c>
      <c r="H740" s="360">
        <f t="shared" ca="1" si="331"/>
        <v>-136.13820175384967</v>
      </c>
      <c r="I740" s="357">
        <f t="shared" ca="1" si="332"/>
        <v>137.41809999696767</v>
      </c>
      <c r="J740" s="359">
        <f t="shared" ca="1" si="333"/>
        <v>1009.0500868209435</v>
      </c>
      <c r="K740" s="360">
        <f t="shared" ca="1" si="334"/>
        <v>-11.23219653673754</v>
      </c>
      <c r="L740" s="357">
        <f t="shared" ca="1" si="319"/>
        <v>1009.1126002346782</v>
      </c>
      <c r="M740" s="359">
        <f t="shared" ca="1" si="335"/>
        <v>-1.4342064831665304</v>
      </c>
      <c r="N740" s="357">
        <f t="shared" ca="1" si="336"/>
        <v>-82.17397843574274</v>
      </c>
      <c r="O740" s="343"/>
      <c r="P740" s="363">
        <f t="shared" ca="1" si="337"/>
        <v>23</v>
      </c>
      <c r="Q740" s="357">
        <f t="shared" ca="1" si="338"/>
        <v>0</v>
      </c>
      <c r="R740" s="359">
        <f t="shared" ca="1" si="339"/>
        <v>0</v>
      </c>
      <c r="S740" s="360">
        <f t="shared" ca="1" si="340"/>
        <v>8.6519999999999992</v>
      </c>
      <c r="T740" s="357">
        <f t="shared" ca="1" si="320"/>
        <v>84.87612</v>
      </c>
      <c r="U740" s="364">
        <f t="shared" ca="1" si="321"/>
        <v>0</v>
      </c>
      <c r="V740" s="359">
        <f t="shared" ca="1" si="322"/>
        <v>1.2263767172536888</v>
      </c>
      <c r="W740" s="357">
        <f t="shared" ca="1" si="323"/>
        <v>52.419321312305286</v>
      </c>
      <c r="X740" s="343"/>
      <c r="Y740" s="367" t="str">
        <f t="shared" ca="1" si="341"/>
        <v/>
      </c>
      <c r="Z740" s="368" t="str">
        <f t="shared" ca="1" si="342"/>
        <v/>
      </c>
      <c r="AA740" s="369" t="str">
        <f t="shared" ca="1" si="343"/>
        <v/>
      </c>
      <c r="AB740" s="344"/>
      <c r="AC740" s="363" t="e">
        <f t="shared" ca="1" si="344"/>
        <v>#N/A</v>
      </c>
      <c r="AD740" s="376" t="e">
        <f t="shared" ca="1" si="345"/>
        <v>#N/A</v>
      </c>
      <c r="AE740" s="377" t="e">
        <f t="shared" ca="1" si="324"/>
        <v>#N/A</v>
      </c>
      <c r="AF740" s="344"/>
      <c r="AG740" s="359">
        <f t="shared" ca="1" si="346"/>
        <v>3.6600335730447684</v>
      </c>
      <c r="AH740" s="357">
        <f t="shared" ca="1" si="347"/>
        <v>-6.0585957836485909</v>
      </c>
    </row>
    <row r="741" spans="1:34" x14ac:dyDescent="0.25">
      <c r="A741" s="402">
        <f t="shared" ca="1" si="325"/>
        <v>1E-4</v>
      </c>
      <c r="B741" s="357">
        <f t="shared" ca="1" si="326"/>
        <v>35.602100000000263</v>
      </c>
      <c r="C741" s="342"/>
      <c r="D741" s="359">
        <f t="shared" ca="1" si="327"/>
        <v>-0.82497735338745348</v>
      </c>
      <c r="E741" s="360">
        <f t="shared" ca="1" si="328"/>
        <v>-3.8077932187664487</v>
      </c>
      <c r="F741" s="357">
        <f t="shared" ca="1" si="329"/>
        <v>3.8961361411642073</v>
      </c>
      <c r="G741" s="359">
        <f t="shared" ca="1" si="330"/>
        <v>18.711524328102204</v>
      </c>
      <c r="H741" s="360">
        <f t="shared" ca="1" si="331"/>
        <v>-136.13858253317156</v>
      </c>
      <c r="I741" s="357">
        <f t="shared" ca="1" si="332"/>
        <v>137.4184659964676</v>
      </c>
      <c r="J741" s="359">
        <f t="shared" ca="1" si="333"/>
        <v>1009.0500868209435</v>
      </c>
      <c r="K741" s="360">
        <f t="shared" ca="1" si="334"/>
        <v>-11.245810375951891</v>
      </c>
      <c r="L741" s="357">
        <f t="shared" ca="1" si="319"/>
        <v>1009.1127518589612</v>
      </c>
      <c r="M741" s="359">
        <f t="shared" ca="1" si="335"/>
        <v>-1.434207455222015</v>
      </c>
      <c r="N741" s="357">
        <f t="shared" ca="1" si="336"/>
        <v>-82.174034130419457</v>
      </c>
      <c r="O741" s="343"/>
      <c r="P741" s="363">
        <f t="shared" ca="1" si="337"/>
        <v>23</v>
      </c>
      <c r="Q741" s="357">
        <f t="shared" ca="1" si="338"/>
        <v>0</v>
      </c>
      <c r="R741" s="359">
        <f t="shared" ca="1" si="339"/>
        <v>0</v>
      </c>
      <c r="S741" s="360">
        <f t="shared" ca="1" si="340"/>
        <v>8.6519999999999992</v>
      </c>
      <c r="T741" s="357">
        <f t="shared" ca="1" si="320"/>
        <v>84.87612</v>
      </c>
      <c r="U741" s="364">
        <f t="shared" ca="1" si="321"/>
        <v>0</v>
      </c>
      <c r="V741" s="359">
        <f t="shared" ca="1" si="322"/>
        <v>1.2263783868248972</v>
      </c>
      <c r="W741" s="357">
        <f t="shared" ca="1" si="323"/>
        <v>52.419671903291388</v>
      </c>
      <c r="X741" s="343"/>
      <c r="Y741" s="367" t="str">
        <f t="shared" ca="1" si="341"/>
        <v/>
      </c>
      <c r="Z741" s="368" t="str">
        <f t="shared" ca="1" si="342"/>
        <v/>
      </c>
      <c r="AA741" s="369" t="str">
        <f t="shared" ca="1" si="343"/>
        <v/>
      </c>
      <c r="AB741" s="344"/>
      <c r="AC741" s="363" t="e">
        <f t="shared" ca="1" si="344"/>
        <v>#N/A</v>
      </c>
      <c r="AD741" s="376" t="e">
        <f t="shared" ca="1" si="345"/>
        <v>#N/A</v>
      </c>
      <c r="AE741" s="377" t="e">
        <f t="shared" ca="1" si="324"/>
        <v>#N/A</v>
      </c>
      <c r="AF741" s="344"/>
      <c r="AG741" s="359">
        <f t="shared" ca="1" si="346"/>
        <v>3.6599943499994509</v>
      </c>
      <c r="AH741" s="357">
        <f t="shared" ca="1" si="347"/>
        <v>-6.0586363051670471</v>
      </c>
    </row>
    <row r="742" spans="1:34" x14ac:dyDescent="0.25">
      <c r="A742" s="402">
        <f t="shared" ca="1" si="325"/>
        <v>1E-4</v>
      </c>
      <c r="B742" s="357">
        <f t="shared" ca="1" si="326"/>
        <v>35.602200000000266</v>
      </c>
      <c r="C742" s="342"/>
      <c r="D742" s="359">
        <f t="shared" ca="1" si="327"/>
        <v>-0.82497703648483489</v>
      </c>
      <c r="E742" s="360">
        <f t="shared" ca="1" si="328"/>
        <v>-3.8077522728714559</v>
      </c>
      <c r="F742" s="357">
        <f t="shared" ca="1" si="329"/>
        <v>3.896096056603974</v>
      </c>
      <c r="G742" s="359">
        <f t="shared" ca="1" si="330"/>
        <v>18.711441830398556</v>
      </c>
      <c r="H742" s="360">
        <f t="shared" ca="1" si="331"/>
        <v>-136.13896330839884</v>
      </c>
      <c r="I742" s="357">
        <f t="shared" ca="1" si="332"/>
        <v>137.41883199204526</v>
      </c>
      <c r="J742" s="359">
        <f t="shared" ca="1" si="333"/>
        <v>1009.0500868209435</v>
      </c>
      <c r="K742" s="360">
        <f t="shared" ca="1" si="334"/>
        <v>-11.259424253243969</v>
      </c>
      <c r="L742" s="357">
        <f t="shared" ca="1" si="319"/>
        <v>1009.1129036673093</v>
      </c>
      <c r="M742" s="359">
        <f t="shared" ca="1" si="335"/>
        <v>-1.4342084272680362</v>
      </c>
      <c r="N742" s="357">
        <f t="shared" ca="1" si="336"/>
        <v>-82.174089824553974</v>
      </c>
      <c r="O742" s="343"/>
      <c r="P742" s="363">
        <f t="shared" ca="1" si="337"/>
        <v>23</v>
      </c>
      <c r="Q742" s="357">
        <f t="shared" ca="1" si="338"/>
        <v>0</v>
      </c>
      <c r="R742" s="359">
        <f t="shared" ca="1" si="339"/>
        <v>0</v>
      </c>
      <c r="S742" s="360">
        <f t="shared" ca="1" si="340"/>
        <v>8.6519999999999992</v>
      </c>
      <c r="T742" s="357">
        <f t="shared" ca="1" si="320"/>
        <v>84.87612</v>
      </c>
      <c r="U742" s="364">
        <f t="shared" ca="1" si="321"/>
        <v>0</v>
      </c>
      <c r="V742" s="359">
        <f t="shared" ca="1" si="322"/>
        <v>1.2263800564030491</v>
      </c>
      <c r="W742" s="357">
        <f t="shared" ca="1" si="323"/>
        <v>52.420022493085845</v>
      </c>
      <c r="X742" s="343"/>
      <c r="Y742" s="367" t="str">
        <f t="shared" ca="1" si="341"/>
        <v/>
      </c>
      <c r="Z742" s="368" t="str">
        <f t="shared" ca="1" si="342"/>
        <v/>
      </c>
      <c r="AA742" s="369" t="str">
        <f t="shared" ca="1" si="343"/>
        <v/>
      </c>
      <c r="AB742" s="344"/>
      <c r="AC742" s="363" t="e">
        <f t="shared" ca="1" si="344"/>
        <v>#N/A</v>
      </c>
      <c r="AD742" s="376" t="e">
        <f t="shared" ca="1" si="345"/>
        <v>#N/A</v>
      </c>
      <c r="AE742" s="377" t="e">
        <f t="shared" ca="1" si="324"/>
        <v>#N/A</v>
      </c>
      <c r="AF742" s="344"/>
      <c r="AG742" s="359">
        <f t="shared" ca="1" si="346"/>
        <v>3.6599551270700346</v>
      </c>
      <c r="AH742" s="357">
        <f t="shared" ca="1" si="347"/>
        <v>-6.0586768265477797</v>
      </c>
    </row>
    <row r="743" spans="1:34" x14ac:dyDescent="0.25">
      <c r="A743" s="402">
        <f t="shared" ca="1" si="325"/>
        <v>1E-4</v>
      </c>
      <c r="B743" s="357">
        <f t="shared" ca="1" si="326"/>
        <v>35.60230000000027</v>
      </c>
      <c r="C743" s="342"/>
      <c r="D743" s="359">
        <f t="shared" ca="1" si="327"/>
        <v>-0.82497671954144014</v>
      </c>
      <c r="E743" s="360">
        <f t="shared" ca="1" si="328"/>
        <v>-3.8077113271156637</v>
      </c>
      <c r="F743" s="357">
        <f t="shared" ca="1" si="329"/>
        <v>3.8960559721890915</v>
      </c>
      <c r="G743" s="359">
        <f t="shared" ca="1" si="330"/>
        <v>18.711359332726602</v>
      </c>
      <c r="H743" s="360">
        <f t="shared" ca="1" si="331"/>
        <v>-136.13934407953155</v>
      </c>
      <c r="I743" s="357">
        <f t="shared" ca="1" si="332"/>
        <v>137.41919798370057</v>
      </c>
      <c r="J743" s="359">
        <f t="shared" ca="1" si="333"/>
        <v>1009.0500868209435</v>
      </c>
      <c r="K743" s="360">
        <f t="shared" ca="1" si="334"/>
        <v>-11.273038168613365</v>
      </c>
      <c r="L743" s="357">
        <f t="shared" ca="1" si="319"/>
        <v>1009.1130556597237</v>
      </c>
      <c r="M743" s="359">
        <f t="shared" ca="1" si="335"/>
        <v>-1.4342093993045939</v>
      </c>
      <c r="N743" s="357">
        <f t="shared" ca="1" si="336"/>
        <v>-82.174145518146261</v>
      </c>
      <c r="O743" s="343"/>
      <c r="P743" s="363">
        <f t="shared" ca="1" si="337"/>
        <v>23</v>
      </c>
      <c r="Q743" s="357">
        <f t="shared" ca="1" si="338"/>
        <v>0</v>
      </c>
      <c r="R743" s="359">
        <f t="shared" ca="1" si="339"/>
        <v>0</v>
      </c>
      <c r="S743" s="360">
        <f t="shared" ca="1" si="340"/>
        <v>8.6519999999999992</v>
      </c>
      <c r="T743" s="357">
        <f t="shared" ca="1" si="320"/>
        <v>84.87612</v>
      </c>
      <c r="U743" s="364">
        <f t="shared" ca="1" si="321"/>
        <v>0</v>
      </c>
      <c r="V743" s="359">
        <f t="shared" ca="1" si="322"/>
        <v>1.2263817259881451</v>
      </c>
      <c r="W743" s="357">
        <f t="shared" ca="1" si="323"/>
        <v>52.420373081688595</v>
      </c>
      <c r="X743" s="343"/>
      <c r="Y743" s="367" t="str">
        <f t="shared" ca="1" si="341"/>
        <v/>
      </c>
      <c r="Z743" s="368" t="str">
        <f t="shared" ca="1" si="342"/>
        <v/>
      </c>
      <c r="AA743" s="369" t="str">
        <f t="shared" ca="1" si="343"/>
        <v/>
      </c>
      <c r="AB743" s="344"/>
      <c r="AC743" s="363" t="e">
        <f t="shared" ca="1" si="344"/>
        <v>#N/A</v>
      </c>
      <c r="AD743" s="376" t="e">
        <f t="shared" ca="1" si="345"/>
        <v>#N/A</v>
      </c>
      <c r="AE743" s="377" t="e">
        <f t="shared" ca="1" si="324"/>
        <v>#N/A</v>
      </c>
      <c r="AF743" s="344"/>
      <c r="AG743" s="359">
        <f t="shared" ca="1" si="346"/>
        <v>3.6599159042565219</v>
      </c>
      <c r="AH743" s="357">
        <f t="shared" ca="1" si="347"/>
        <v>-6.0587173477907825</v>
      </c>
    </row>
    <row r="744" spans="1:34" x14ac:dyDescent="0.25">
      <c r="A744" s="402">
        <f t="shared" ca="1" si="325"/>
        <v>1E-4</v>
      </c>
      <c r="B744" s="357">
        <f t="shared" ca="1" si="326"/>
        <v>35.602400000000273</v>
      </c>
      <c r="C744" s="342"/>
      <c r="D744" s="359">
        <f t="shared" ca="1" si="327"/>
        <v>-0.82497640255727123</v>
      </c>
      <c r="E744" s="360">
        <f t="shared" ca="1" si="328"/>
        <v>-3.8076703814990775</v>
      </c>
      <c r="F744" s="357">
        <f t="shared" ca="1" si="329"/>
        <v>3.8960158879195639</v>
      </c>
      <c r="G744" s="359">
        <f t="shared" ca="1" si="330"/>
        <v>18.711276835086345</v>
      </c>
      <c r="H744" s="360">
        <f t="shared" ca="1" si="331"/>
        <v>-136.13972484656969</v>
      </c>
      <c r="I744" s="357">
        <f t="shared" ca="1" si="332"/>
        <v>137.41956397143366</v>
      </c>
      <c r="J744" s="359">
        <f t="shared" ca="1" si="333"/>
        <v>1009.0500868209435</v>
      </c>
      <c r="K744" s="360">
        <f t="shared" ca="1" si="334"/>
        <v>-11.286652122059669</v>
      </c>
      <c r="L744" s="357">
        <f t="shared" ca="1" si="319"/>
        <v>1009.113207836206</v>
      </c>
      <c r="M744" s="359">
        <f t="shared" ca="1" si="335"/>
        <v>-1.4342103713316883</v>
      </c>
      <c r="N744" s="357">
        <f t="shared" ca="1" si="336"/>
        <v>-82.174201211196333</v>
      </c>
      <c r="O744" s="343"/>
      <c r="P744" s="363">
        <f t="shared" ca="1" si="337"/>
        <v>23</v>
      </c>
      <c r="Q744" s="357">
        <f t="shared" ca="1" si="338"/>
        <v>0</v>
      </c>
      <c r="R744" s="359">
        <f t="shared" ca="1" si="339"/>
        <v>0</v>
      </c>
      <c r="S744" s="360">
        <f t="shared" ca="1" si="340"/>
        <v>8.6519999999999992</v>
      </c>
      <c r="T744" s="357">
        <f t="shared" ca="1" si="320"/>
        <v>84.87612</v>
      </c>
      <c r="U744" s="364">
        <f t="shared" ca="1" si="321"/>
        <v>0</v>
      </c>
      <c r="V744" s="359">
        <f t="shared" ca="1" si="322"/>
        <v>1.2263833955801855</v>
      </c>
      <c r="W744" s="357">
        <f t="shared" ca="1" si="323"/>
        <v>52.42072366909975</v>
      </c>
      <c r="X744" s="343"/>
      <c r="Y744" s="367" t="str">
        <f t="shared" ca="1" si="341"/>
        <v/>
      </c>
      <c r="Z744" s="368" t="str">
        <f t="shared" ca="1" si="342"/>
        <v/>
      </c>
      <c r="AA744" s="369" t="str">
        <f t="shared" ca="1" si="343"/>
        <v/>
      </c>
      <c r="AB744" s="344"/>
      <c r="AC744" s="363" t="e">
        <f t="shared" ca="1" si="344"/>
        <v>#N/A</v>
      </c>
      <c r="AD744" s="376" t="e">
        <f t="shared" ca="1" si="345"/>
        <v>#N/A</v>
      </c>
      <c r="AE744" s="377" t="e">
        <f t="shared" ca="1" si="324"/>
        <v>#N/A</v>
      </c>
      <c r="AF744" s="344"/>
      <c r="AG744" s="359">
        <f t="shared" ca="1" si="346"/>
        <v>3.6598766815589245</v>
      </c>
      <c r="AH744" s="357">
        <f t="shared" ca="1" si="347"/>
        <v>-6.0587578688960475</v>
      </c>
    </row>
    <row r="745" spans="1:34" x14ac:dyDescent="0.25">
      <c r="A745" s="402">
        <f t="shared" ca="1" si="325"/>
        <v>1E-4</v>
      </c>
      <c r="B745" s="357">
        <f t="shared" ca="1" si="326"/>
        <v>35.602500000000276</v>
      </c>
      <c r="C745" s="342"/>
      <c r="D745" s="359">
        <f t="shared" ca="1" si="327"/>
        <v>-0.82497608553232993</v>
      </c>
      <c r="E745" s="360">
        <f t="shared" ca="1" si="328"/>
        <v>-3.8076294360216858</v>
      </c>
      <c r="F745" s="357">
        <f t="shared" ca="1" si="329"/>
        <v>3.8959758037953813</v>
      </c>
      <c r="G745" s="359">
        <f t="shared" ca="1" si="330"/>
        <v>18.711194337477792</v>
      </c>
      <c r="H745" s="360">
        <f t="shared" ca="1" si="331"/>
        <v>-136.14010560951328</v>
      </c>
      <c r="I745" s="357">
        <f t="shared" ca="1" si="332"/>
        <v>137.41992995524447</v>
      </c>
      <c r="J745" s="359">
        <f t="shared" ca="1" si="333"/>
        <v>1009.0500868209435</v>
      </c>
      <c r="K745" s="360">
        <f t="shared" ca="1" si="334"/>
        <v>-11.300266113582474</v>
      </c>
      <c r="L745" s="357">
        <f t="shared" ca="1" si="319"/>
        <v>1009.1133601967579</v>
      </c>
      <c r="M745" s="359">
        <f t="shared" ca="1" si="335"/>
        <v>-1.4342113433493193</v>
      </c>
      <c r="N745" s="357">
        <f t="shared" ca="1" si="336"/>
        <v>-82.174256903704205</v>
      </c>
      <c r="O745" s="343"/>
      <c r="P745" s="363">
        <f t="shared" ca="1" si="337"/>
        <v>23</v>
      </c>
      <c r="Q745" s="357">
        <f t="shared" ca="1" si="338"/>
        <v>0</v>
      </c>
      <c r="R745" s="359">
        <f t="shared" ca="1" si="339"/>
        <v>0</v>
      </c>
      <c r="S745" s="360">
        <f t="shared" ca="1" si="340"/>
        <v>8.6519999999999992</v>
      </c>
      <c r="T745" s="357">
        <f t="shared" ca="1" si="320"/>
        <v>84.87612</v>
      </c>
      <c r="U745" s="364">
        <f t="shared" ca="1" si="321"/>
        <v>0</v>
      </c>
      <c r="V745" s="359">
        <f t="shared" ca="1" si="322"/>
        <v>1.2263850651791695</v>
      </c>
      <c r="W745" s="357">
        <f t="shared" ca="1" si="323"/>
        <v>52.421074255319176</v>
      </c>
      <c r="X745" s="343"/>
      <c r="Y745" s="367" t="str">
        <f t="shared" ca="1" si="341"/>
        <v/>
      </c>
      <c r="Z745" s="368" t="str">
        <f t="shared" ca="1" si="342"/>
        <v/>
      </c>
      <c r="AA745" s="369" t="str">
        <f t="shared" ca="1" si="343"/>
        <v/>
      </c>
      <c r="AB745" s="344"/>
      <c r="AC745" s="363" t="e">
        <f t="shared" ca="1" si="344"/>
        <v>#N/A</v>
      </c>
      <c r="AD745" s="376" t="e">
        <f t="shared" ca="1" si="345"/>
        <v>#N/A</v>
      </c>
      <c r="AE745" s="377" t="e">
        <f t="shared" ca="1" si="324"/>
        <v>#N/A</v>
      </c>
      <c r="AF745" s="344"/>
      <c r="AG745" s="359">
        <f t="shared" ca="1" si="346"/>
        <v>3.65983745897723</v>
      </c>
      <c r="AH745" s="357">
        <f t="shared" ca="1" si="347"/>
        <v>-6.0587983898635871</v>
      </c>
    </row>
    <row r="746" spans="1:34" x14ac:dyDescent="0.25">
      <c r="A746" s="402">
        <f t="shared" ca="1" si="325"/>
        <v>1E-4</v>
      </c>
      <c r="B746" s="357">
        <f t="shared" ca="1" si="326"/>
        <v>35.60260000000028</v>
      </c>
      <c r="C746" s="342"/>
      <c r="D746" s="359">
        <f t="shared" ca="1" si="327"/>
        <v>-0.8249757684666158</v>
      </c>
      <c r="E746" s="360">
        <f t="shared" ca="1" si="328"/>
        <v>-3.8075884906835045</v>
      </c>
      <c r="F746" s="357">
        <f t="shared" ca="1" si="329"/>
        <v>3.8959357198165594</v>
      </c>
      <c r="G746" s="359">
        <f t="shared" ca="1" si="330"/>
        <v>18.711111839900944</v>
      </c>
      <c r="H746" s="360">
        <f t="shared" ca="1" si="331"/>
        <v>-136.14048636836236</v>
      </c>
      <c r="I746" s="357">
        <f t="shared" ca="1" si="332"/>
        <v>137.42029593513303</v>
      </c>
      <c r="J746" s="359">
        <f t="shared" ca="1" si="333"/>
        <v>1009.0500868209435</v>
      </c>
      <c r="K746" s="360">
        <f t="shared" ca="1" si="334"/>
        <v>-11.313880143181368</v>
      </c>
      <c r="L746" s="357">
        <f t="shared" ca="1" si="319"/>
        <v>1009.1135127413803</v>
      </c>
      <c r="M746" s="359">
        <f t="shared" ca="1" si="335"/>
        <v>-1.4342123153574877</v>
      </c>
      <c r="N746" s="357">
        <f t="shared" ca="1" si="336"/>
        <v>-82.174312595669903</v>
      </c>
      <c r="O746" s="343"/>
      <c r="P746" s="363">
        <f t="shared" ca="1" si="337"/>
        <v>23</v>
      </c>
      <c r="Q746" s="357">
        <f t="shared" ca="1" si="338"/>
        <v>0</v>
      </c>
      <c r="R746" s="359">
        <f t="shared" ca="1" si="339"/>
        <v>0</v>
      </c>
      <c r="S746" s="360">
        <f t="shared" ca="1" si="340"/>
        <v>8.6519999999999992</v>
      </c>
      <c r="T746" s="357">
        <f t="shared" ca="1" si="320"/>
        <v>84.87612</v>
      </c>
      <c r="U746" s="364">
        <f t="shared" ca="1" si="321"/>
        <v>0</v>
      </c>
      <c r="V746" s="359">
        <f t="shared" ca="1" si="322"/>
        <v>1.2263867347850972</v>
      </c>
      <c r="W746" s="357">
        <f t="shared" ca="1" si="323"/>
        <v>52.42142484034688</v>
      </c>
      <c r="X746" s="343"/>
      <c r="Y746" s="367" t="str">
        <f t="shared" ca="1" si="341"/>
        <v/>
      </c>
      <c r="Z746" s="368" t="str">
        <f t="shared" ca="1" si="342"/>
        <v/>
      </c>
      <c r="AA746" s="369" t="str">
        <f t="shared" ca="1" si="343"/>
        <v/>
      </c>
      <c r="AB746" s="344"/>
      <c r="AC746" s="363" t="e">
        <f t="shared" ca="1" si="344"/>
        <v>#N/A</v>
      </c>
      <c r="AD746" s="376" t="e">
        <f t="shared" ca="1" si="345"/>
        <v>#N/A</v>
      </c>
      <c r="AE746" s="377" t="e">
        <f t="shared" ca="1" si="324"/>
        <v>#N/A</v>
      </c>
      <c r="AF746" s="344"/>
      <c r="AG746" s="359">
        <f t="shared" ca="1" si="346"/>
        <v>3.6597982365114499</v>
      </c>
      <c r="AH746" s="357">
        <f t="shared" ca="1" si="347"/>
        <v>-6.0588389106933862</v>
      </c>
    </row>
    <row r="747" spans="1:34" x14ac:dyDescent="0.25">
      <c r="A747" s="402">
        <f t="shared" ca="1" si="325"/>
        <v>1E-4</v>
      </c>
      <c r="B747" s="357">
        <f t="shared" ca="1" si="326"/>
        <v>35.602700000000283</v>
      </c>
      <c r="C747" s="342"/>
      <c r="D747" s="359">
        <f t="shared" ca="1" si="327"/>
        <v>-0.82497545136012629</v>
      </c>
      <c r="E747" s="360">
        <f t="shared" ca="1" si="328"/>
        <v>-3.8075475454845309</v>
      </c>
      <c r="F747" s="357">
        <f t="shared" ca="1" si="329"/>
        <v>3.8958956359830945</v>
      </c>
      <c r="G747" s="359">
        <f t="shared" ca="1" si="330"/>
        <v>18.711029342355808</v>
      </c>
      <c r="H747" s="360">
        <f t="shared" ca="1" si="331"/>
        <v>-136.14086712311692</v>
      </c>
      <c r="I747" s="357">
        <f t="shared" ca="1" si="332"/>
        <v>137.42066191109939</v>
      </c>
      <c r="J747" s="359">
        <f t="shared" ca="1" si="333"/>
        <v>1009.0500868209435</v>
      </c>
      <c r="K747" s="360">
        <f t="shared" ca="1" si="334"/>
        <v>-11.327494210855942</v>
      </c>
      <c r="L747" s="357">
        <f t="shared" ca="1" si="319"/>
        <v>1009.1136654700751</v>
      </c>
      <c r="M747" s="359">
        <f t="shared" ca="1" si="335"/>
        <v>-1.434213287356193</v>
      </c>
      <c r="N747" s="357">
        <f t="shared" ca="1" si="336"/>
        <v>-82.174368287093415</v>
      </c>
      <c r="O747" s="343"/>
      <c r="P747" s="363">
        <f t="shared" ca="1" si="337"/>
        <v>23</v>
      </c>
      <c r="Q747" s="357">
        <f t="shared" ca="1" si="338"/>
        <v>0</v>
      </c>
      <c r="R747" s="359">
        <f t="shared" ca="1" si="339"/>
        <v>0</v>
      </c>
      <c r="S747" s="360">
        <f t="shared" ca="1" si="340"/>
        <v>8.6519999999999992</v>
      </c>
      <c r="T747" s="357">
        <f t="shared" ca="1" si="320"/>
        <v>84.87612</v>
      </c>
      <c r="U747" s="364">
        <f t="shared" ca="1" si="321"/>
        <v>0</v>
      </c>
      <c r="V747" s="359">
        <f t="shared" ca="1" si="322"/>
        <v>1.2263884043979687</v>
      </c>
      <c r="W747" s="357">
        <f t="shared" ca="1" si="323"/>
        <v>52.421775424182883</v>
      </c>
      <c r="X747" s="343"/>
      <c r="Y747" s="367" t="str">
        <f t="shared" ca="1" si="341"/>
        <v/>
      </c>
      <c r="Z747" s="368" t="str">
        <f t="shared" ca="1" si="342"/>
        <v/>
      </c>
      <c r="AA747" s="369" t="str">
        <f t="shared" ca="1" si="343"/>
        <v/>
      </c>
      <c r="AB747" s="344"/>
      <c r="AC747" s="363" t="e">
        <f t="shared" ca="1" si="344"/>
        <v>#N/A</v>
      </c>
      <c r="AD747" s="376" t="e">
        <f t="shared" ca="1" si="345"/>
        <v>#N/A</v>
      </c>
      <c r="AE747" s="377" t="e">
        <f t="shared" ca="1" si="324"/>
        <v>#N/A</v>
      </c>
      <c r="AF747" s="344"/>
      <c r="AG747" s="359">
        <f t="shared" ca="1" si="346"/>
        <v>3.6597590141615894</v>
      </c>
      <c r="AH747" s="357">
        <f t="shared" ca="1" si="347"/>
        <v>-6.0588794313854466</v>
      </c>
    </row>
    <row r="748" spans="1:34" x14ac:dyDescent="0.25">
      <c r="A748" s="402">
        <f t="shared" ca="1" si="325"/>
        <v>1E-4</v>
      </c>
      <c r="B748" s="357">
        <f t="shared" ca="1" si="326"/>
        <v>35.602800000000286</v>
      </c>
      <c r="C748" s="342"/>
      <c r="D748" s="359">
        <f t="shared" ca="1" si="327"/>
        <v>-0.8249751342128665</v>
      </c>
      <c r="E748" s="360">
        <f t="shared" ca="1" si="328"/>
        <v>-3.8075066004247633</v>
      </c>
      <c r="F748" s="357">
        <f t="shared" ca="1" si="329"/>
        <v>3.8958555522949867</v>
      </c>
      <c r="G748" s="359">
        <f t="shared" ca="1" si="330"/>
        <v>18.710946844842386</v>
      </c>
      <c r="H748" s="360">
        <f t="shared" ca="1" si="331"/>
        <v>-136.14124787377696</v>
      </c>
      <c r="I748" s="357">
        <f t="shared" ca="1" si="332"/>
        <v>137.42102788314349</v>
      </c>
      <c r="J748" s="359">
        <f t="shared" ca="1" si="333"/>
        <v>1009.0500868209435</v>
      </c>
      <c r="K748" s="360">
        <f t="shared" ca="1" si="334"/>
        <v>-11.341108316605787</v>
      </c>
      <c r="L748" s="357">
        <f t="shared" ca="1" si="319"/>
        <v>1009.1138183828436</v>
      </c>
      <c r="M748" s="359">
        <f t="shared" ca="1" si="335"/>
        <v>-1.4342142593454359</v>
      </c>
      <c r="N748" s="357">
        <f t="shared" ca="1" si="336"/>
        <v>-82.174423977974769</v>
      </c>
      <c r="O748" s="343"/>
      <c r="P748" s="363">
        <f t="shared" ca="1" si="337"/>
        <v>23</v>
      </c>
      <c r="Q748" s="357">
        <f t="shared" ca="1" si="338"/>
        <v>0</v>
      </c>
      <c r="R748" s="359">
        <f t="shared" ca="1" si="339"/>
        <v>0</v>
      </c>
      <c r="S748" s="360">
        <f t="shared" ca="1" si="340"/>
        <v>8.6519999999999992</v>
      </c>
      <c r="T748" s="357">
        <f t="shared" ca="1" si="320"/>
        <v>84.87612</v>
      </c>
      <c r="U748" s="364">
        <f t="shared" ca="1" si="321"/>
        <v>0</v>
      </c>
      <c r="V748" s="359">
        <f t="shared" ca="1" si="322"/>
        <v>1.2263900740177847</v>
      </c>
      <c r="W748" s="357">
        <f t="shared" ca="1" si="323"/>
        <v>52.422126006827142</v>
      </c>
      <c r="X748" s="343"/>
      <c r="Y748" s="367" t="str">
        <f t="shared" ca="1" si="341"/>
        <v/>
      </c>
      <c r="Z748" s="368" t="str">
        <f t="shared" ca="1" si="342"/>
        <v/>
      </c>
      <c r="AA748" s="369" t="str">
        <f t="shared" ca="1" si="343"/>
        <v/>
      </c>
      <c r="AB748" s="344"/>
      <c r="AC748" s="363" t="e">
        <f t="shared" ca="1" si="344"/>
        <v>#N/A</v>
      </c>
      <c r="AD748" s="376" t="e">
        <f t="shared" ca="1" si="345"/>
        <v>#N/A</v>
      </c>
      <c r="AE748" s="377" t="e">
        <f t="shared" ca="1" si="324"/>
        <v>#N/A</v>
      </c>
      <c r="AF748" s="344"/>
      <c r="AG748" s="359">
        <f t="shared" ca="1" si="346"/>
        <v>3.6597197919276434</v>
      </c>
      <c r="AH748" s="357">
        <f t="shared" ca="1" si="347"/>
        <v>-6.0589199519397701</v>
      </c>
    </row>
    <row r="749" spans="1:34" x14ac:dyDescent="0.25">
      <c r="A749" s="402">
        <f t="shared" ca="1" si="325"/>
        <v>1E-4</v>
      </c>
      <c r="B749" s="357">
        <f t="shared" ca="1" si="326"/>
        <v>35.60290000000029</v>
      </c>
      <c r="C749" s="342"/>
      <c r="D749" s="359">
        <f t="shared" ca="1" si="327"/>
        <v>-0.82497481702483266</v>
      </c>
      <c r="E749" s="360">
        <f t="shared" ca="1" si="328"/>
        <v>-3.8074656555042079</v>
      </c>
      <c r="F749" s="357">
        <f t="shared" ca="1" si="329"/>
        <v>3.8958154687522413</v>
      </c>
      <c r="G749" s="359">
        <f t="shared" ca="1" si="330"/>
        <v>18.710864347360683</v>
      </c>
      <c r="H749" s="360">
        <f t="shared" ca="1" si="331"/>
        <v>-136.14162862034252</v>
      </c>
      <c r="I749" s="357">
        <f t="shared" ca="1" si="332"/>
        <v>137.42139385126538</v>
      </c>
      <c r="J749" s="359">
        <f t="shared" ca="1" si="333"/>
        <v>1009.0500868209435</v>
      </c>
      <c r="K749" s="360">
        <f t="shared" ca="1" si="334"/>
        <v>-11.354722460430493</v>
      </c>
      <c r="L749" s="357">
        <f t="shared" ca="1" si="319"/>
        <v>1009.1139714796873</v>
      </c>
      <c r="M749" s="359">
        <f t="shared" ca="1" si="335"/>
        <v>-1.4342152313252159</v>
      </c>
      <c r="N749" s="357">
        <f t="shared" ca="1" si="336"/>
        <v>-82.174479668313936</v>
      </c>
      <c r="O749" s="343"/>
      <c r="P749" s="363">
        <f t="shared" ca="1" si="337"/>
        <v>23</v>
      </c>
      <c r="Q749" s="357">
        <f t="shared" ca="1" si="338"/>
        <v>0</v>
      </c>
      <c r="R749" s="359">
        <f t="shared" ca="1" si="339"/>
        <v>0</v>
      </c>
      <c r="S749" s="360">
        <f t="shared" ca="1" si="340"/>
        <v>8.6519999999999992</v>
      </c>
      <c r="T749" s="357">
        <f t="shared" ca="1" si="320"/>
        <v>84.87612</v>
      </c>
      <c r="U749" s="364">
        <f t="shared" ca="1" si="321"/>
        <v>0</v>
      </c>
      <c r="V749" s="359">
        <f t="shared" ca="1" si="322"/>
        <v>1.2263917436445437</v>
      </c>
      <c r="W749" s="357">
        <f t="shared" ca="1" si="323"/>
        <v>52.422476588279586</v>
      </c>
      <c r="X749" s="343"/>
      <c r="Y749" s="367" t="str">
        <f t="shared" ca="1" si="341"/>
        <v/>
      </c>
      <c r="Z749" s="368" t="str">
        <f t="shared" ca="1" si="342"/>
        <v/>
      </c>
      <c r="AA749" s="369" t="str">
        <f t="shared" ca="1" si="343"/>
        <v/>
      </c>
      <c r="AB749" s="344"/>
      <c r="AC749" s="363" t="e">
        <f t="shared" ca="1" si="344"/>
        <v>#N/A</v>
      </c>
      <c r="AD749" s="376" t="e">
        <f t="shared" ca="1" si="345"/>
        <v>#N/A</v>
      </c>
      <c r="AE749" s="377" t="e">
        <f t="shared" ca="1" si="324"/>
        <v>#N/A</v>
      </c>
      <c r="AF749" s="344"/>
      <c r="AG749" s="359">
        <f t="shared" ca="1" si="346"/>
        <v>3.659680569809618</v>
      </c>
      <c r="AH749" s="357">
        <f t="shared" ca="1" si="347"/>
        <v>-6.0589604723563504</v>
      </c>
    </row>
    <row r="750" spans="1:34" x14ac:dyDescent="0.25">
      <c r="A750" s="402">
        <f t="shared" ca="1" si="325"/>
        <v>1E-4</v>
      </c>
      <c r="B750" s="357">
        <f t="shared" ca="1" si="326"/>
        <v>35.603000000000293</v>
      </c>
      <c r="C750" s="342"/>
      <c r="D750" s="359">
        <f t="shared" ca="1" si="327"/>
        <v>-0.82497449979602822</v>
      </c>
      <c r="E750" s="360">
        <f t="shared" ca="1" si="328"/>
        <v>-3.8074247107228718</v>
      </c>
      <c r="F750" s="357">
        <f t="shared" ca="1" si="329"/>
        <v>3.8957753853548658</v>
      </c>
      <c r="G750" s="359">
        <f t="shared" ca="1" si="330"/>
        <v>18.710781849910703</v>
      </c>
      <c r="H750" s="360">
        <f t="shared" ca="1" si="331"/>
        <v>-136.14200936281358</v>
      </c>
      <c r="I750" s="357">
        <f t="shared" ca="1" si="332"/>
        <v>137.42175981546507</v>
      </c>
      <c r="J750" s="359">
        <f t="shared" ca="1" si="333"/>
        <v>1009.0500868209435</v>
      </c>
      <c r="K750" s="360">
        <f t="shared" ca="1" si="334"/>
        <v>-11.36833664232965</v>
      </c>
      <c r="L750" s="357">
        <f t="shared" ca="1" si="319"/>
        <v>1009.1141247606075</v>
      </c>
      <c r="M750" s="359">
        <f t="shared" ca="1" si="335"/>
        <v>-1.4342162032955337</v>
      </c>
      <c r="N750" s="357">
        <f t="shared" ca="1" si="336"/>
        <v>-82.174535358110944</v>
      </c>
      <c r="O750" s="343"/>
      <c r="P750" s="363">
        <f t="shared" ca="1" si="337"/>
        <v>23</v>
      </c>
      <c r="Q750" s="357">
        <f t="shared" ca="1" si="338"/>
        <v>0</v>
      </c>
      <c r="R750" s="359">
        <f t="shared" ca="1" si="339"/>
        <v>0</v>
      </c>
      <c r="S750" s="360">
        <f t="shared" ca="1" si="340"/>
        <v>8.6519999999999992</v>
      </c>
      <c r="T750" s="357">
        <f t="shared" ca="1" si="320"/>
        <v>84.87612</v>
      </c>
      <c r="U750" s="364">
        <f t="shared" ca="1" si="321"/>
        <v>0</v>
      </c>
      <c r="V750" s="359">
        <f t="shared" ca="1" si="322"/>
        <v>1.2263934132782468</v>
      </c>
      <c r="W750" s="357">
        <f t="shared" ca="1" si="323"/>
        <v>52.422827168540245</v>
      </c>
      <c r="X750" s="343"/>
      <c r="Y750" s="367" t="str">
        <f t="shared" ca="1" si="341"/>
        <v/>
      </c>
      <c r="Z750" s="368" t="str">
        <f t="shared" ca="1" si="342"/>
        <v/>
      </c>
      <c r="AA750" s="369" t="str">
        <f t="shared" ca="1" si="343"/>
        <v/>
      </c>
      <c r="AB750" s="344"/>
      <c r="AC750" s="363" t="e">
        <f t="shared" ca="1" si="344"/>
        <v>#N/A</v>
      </c>
      <c r="AD750" s="376" t="e">
        <f t="shared" ca="1" si="345"/>
        <v>#N/A</v>
      </c>
      <c r="AE750" s="377" t="e">
        <f t="shared" ca="1" si="324"/>
        <v>#N/A</v>
      </c>
      <c r="AF750" s="344"/>
      <c r="AG750" s="359">
        <f t="shared" ca="1" si="346"/>
        <v>3.6596413478075212</v>
      </c>
      <c r="AH750" s="357">
        <f t="shared" ca="1" si="347"/>
        <v>-6.0590009926351813</v>
      </c>
    </row>
    <row r="751" spans="1:34" x14ac:dyDescent="0.25">
      <c r="A751" s="402">
        <f t="shared" ca="1" si="325"/>
        <v>1E-4</v>
      </c>
      <c r="B751" s="357">
        <f t="shared" ca="1" si="326"/>
        <v>35.603100000000296</v>
      </c>
      <c r="C751" s="342"/>
      <c r="D751" s="359">
        <f t="shared" ca="1" si="327"/>
        <v>-0.82497418252645138</v>
      </c>
      <c r="E751" s="360">
        <f t="shared" ca="1" si="328"/>
        <v>-3.8073837660807515</v>
      </c>
      <c r="F751" s="357">
        <f t="shared" ca="1" si="329"/>
        <v>3.8957353021028562</v>
      </c>
      <c r="G751" s="359">
        <f t="shared" ca="1" si="330"/>
        <v>18.710699352492451</v>
      </c>
      <c r="H751" s="360">
        <f t="shared" ca="1" si="331"/>
        <v>-136.14239010119019</v>
      </c>
      <c r="I751" s="357">
        <f t="shared" ca="1" si="332"/>
        <v>137.42212577574259</v>
      </c>
      <c r="J751" s="359">
        <f t="shared" ca="1" si="333"/>
        <v>1009.0500868209435</v>
      </c>
      <c r="K751" s="360">
        <f t="shared" ca="1" si="334"/>
        <v>-11.381950862302851</v>
      </c>
      <c r="L751" s="357">
        <f t="shared" ca="1" si="319"/>
        <v>1009.114278225606</v>
      </c>
      <c r="M751" s="359">
        <f t="shared" ca="1" si="335"/>
        <v>-1.434217175256389</v>
      </c>
      <c r="N751" s="357">
        <f t="shared" ca="1" si="336"/>
        <v>-82.174591047365809</v>
      </c>
      <c r="O751" s="343"/>
      <c r="P751" s="363">
        <f t="shared" ca="1" si="337"/>
        <v>23</v>
      </c>
      <c r="Q751" s="357">
        <f t="shared" ca="1" si="338"/>
        <v>0</v>
      </c>
      <c r="R751" s="359">
        <f t="shared" ca="1" si="339"/>
        <v>0</v>
      </c>
      <c r="S751" s="360">
        <f t="shared" ca="1" si="340"/>
        <v>8.6519999999999992</v>
      </c>
      <c r="T751" s="357">
        <f t="shared" ca="1" si="320"/>
        <v>84.87612</v>
      </c>
      <c r="U751" s="364">
        <f t="shared" ca="1" si="321"/>
        <v>0</v>
      </c>
      <c r="V751" s="359">
        <f t="shared" ca="1" si="322"/>
        <v>1.2263950829188937</v>
      </c>
      <c r="W751" s="357">
        <f t="shared" ca="1" si="323"/>
        <v>52.42317774760911</v>
      </c>
      <c r="X751" s="343"/>
      <c r="Y751" s="367" t="str">
        <f t="shared" ca="1" si="341"/>
        <v/>
      </c>
      <c r="Z751" s="368" t="str">
        <f t="shared" ca="1" si="342"/>
        <v/>
      </c>
      <c r="AA751" s="369" t="str">
        <f t="shared" ca="1" si="343"/>
        <v/>
      </c>
      <c r="AB751" s="344"/>
      <c r="AC751" s="363" t="e">
        <f t="shared" ca="1" si="344"/>
        <v>#N/A</v>
      </c>
      <c r="AD751" s="376" t="e">
        <f t="shared" ca="1" si="345"/>
        <v>#N/A</v>
      </c>
      <c r="AE751" s="377" t="e">
        <f t="shared" ca="1" si="324"/>
        <v>#N/A</v>
      </c>
      <c r="AF751" s="344"/>
      <c r="AG751" s="359">
        <f t="shared" ca="1" si="346"/>
        <v>3.659602125921352</v>
      </c>
      <c r="AH751" s="357">
        <f t="shared" ca="1" si="347"/>
        <v>-6.0590415127762656</v>
      </c>
    </row>
    <row r="752" spans="1:34" x14ac:dyDescent="0.25">
      <c r="A752" s="402">
        <f t="shared" ca="1" si="325"/>
        <v>1E-4</v>
      </c>
      <c r="B752" s="357">
        <f t="shared" ca="1" si="326"/>
        <v>35.603200000000299</v>
      </c>
      <c r="C752" s="342"/>
      <c r="D752" s="359">
        <f t="shared" ca="1" si="327"/>
        <v>-0.82497386521610427</v>
      </c>
      <c r="E752" s="360">
        <f t="shared" ca="1" si="328"/>
        <v>-3.8073428215778486</v>
      </c>
      <c r="F752" s="357">
        <f t="shared" ca="1" si="329"/>
        <v>3.8956952189962157</v>
      </c>
      <c r="G752" s="359">
        <f t="shared" ca="1" si="330"/>
        <v>18.710616855105929</v>
      </c>
      <c r="H752" s="360">
        <f t="shared" ca="1" si="331"/>
        <v>-136.14277083547233</v>
      </c>
      <c r="I752" s="357">
        <f t="shared" ca="1" si="332"/>
        <v>137.42249173209788</v>
      </c>
      <c r="J752" s="359">
        <f t="shared" ca="1" si="333"/>
        <v>1009.0500868209435</v>
      </c>
      <c r="K752" s="360">
        <f t="shared" ca="1" si="334"/>
        <v>-11.395565120349683</v>
      </c>
      <c r="L752" s="357">
        <f t="shared" ca="1" si="319"/>
        <v>1009.1144318746838</v>
      </c>
      <c r="M752" s="359">
        <f t="shared" ca="1" si="335"/>
        <v>-1.4342181472077824</v>
      </c>
      <c r="N752" s="357">
        <f t="shared" ca="1" si="336"/>
        <v>-82.174646736078543</v>
      </c>
      <c r="O752" s="343"/>
      <c r="P752" s="363">
        <f t="shared" ca="1" si="337"/>
        <v>23</v>
      </c>
      <c r="Q752" s="357">
        <f t="shared" ca="1" si="338"/>
        <v>0</v>
      </c>
      <c r="R752" s="359">
        <f t="shared" ca="1" si="339"/>
        <v>0</v>
      </c>
      <c r="S752" s="360">
        <f t="shared" ca="1" si="340"/>
        <v>8.6519999999999992</v>
      </c>
      <c r="T752" s="357">
        <f t="shared" ca="1" si="320"/>
        <v>84.87612</v>
      </c>
      <c r="U752" s="364">
        <f t="shared" ca="1" si="321"/>
        <v>0</v>
      </c>
      <c r="V752" s="359">
        <f t="shared" ca="1" si="322"/>
        <v>1.2263967525664845</v>
      </c>
      <c r="W752" s="357">
        <f t="shared" ca="1" si="323"/>
        <v>52.423528325486117</v>
      </c>
      <c r="X752" s="343"/>
      <c r="Y752" s="367" t="str">
        <f t="shared" ca="1" si="341"/>
        <v/>
      </c>
      <c r="Z752" s="368" t="str">
        <f t="shared" ca="1" si="342"/>
        <v/>
      </c>
      <c r="AA752" s="369" t="str">
        <f t="shared" ca="1" si="343"/>
        <v/>
      </c>
      <c r="AB752" s="344"/>
      <c r="AC752" s="363" t="e">
        <f t="shared" ca="1" si="344"/>
        <v>#N/A</v>
      </c>
      <c r="AD752" s="376" t="e">
        <f t="shared" ca="1" si="345"/>
        <v>#N/A</v>
      </c>
      <c r="AE752" s="377" t="e">
        <f t="shared" ca="1" si="324"/>
        <v>#N/A</v>
      </c>
      <c r="AF752" s="344"/>
      <c r="AG752" s="359">
        <f t="shared" ca="1" si="346"/>
        <v>3.6595629041511089</v>
      </c>
      <c r="AH752" s="357">
        <f t="shared" ca="1" si="347"/>
        <v>-6.0590820327796013</v>
      </c>
    </row>
    <row r="753" spans="1:34" x14ac:dyDescent="0.25">
      <c r="A753" s="402">
        <f t="shared" ca="1" si="325"/>
        <v>1E-4</v>
      </c>
      <c r="B753" s="357">
        <f t="shared" ca="1" si="326"/>
        <v>35.603300000000303</v>
      </c>
      <c r="C753" s="342"/>
      <c r="D753" s="359">
        <f t="shared" ca="1" si="327"/>
        <v>-0.82497354786498533</v>
      </c>
      <c r="E753" s="360">
        <f t="shared" ca="1" si="328"/>
        <v>-3.8073018772141705</v>
      </c>
      <c r="F753" s="357">
        <f t="shared" ca="1" si="329"/>
        <v>3.8956551360349501</v>
      </c>
      <c r="G753" s="359">
        <f t="shared" ca="1" si="330"/>
        <v>18.710534357751143</v>
      </c>
      <c r="H753" s="360">
        <f t="shared" ca="1" si="331"/>
        <v>-136.14315156566005</v>
      </c>
      <c r="I753" s="357">
        <f t="shared" ca="1" si="332"/>
        <v>137.42285768453104</v>
      </c>
      <c r="J753" s="359">
        <f t="shared" ca="1" si="333"/>
        <v>1009.0500868209435</v>
      </c>
      <c r="K753" s="360">
        <f t="shared" ca="1" si="334"/>
        <v>-11.40917941646974</v>
      </c>
      <c r="L753" s="357">
        <f t="shared" ca="1" si="319"/>
        <v>1009.1145857078426</v>
      </c>
      <c r="M753" s="359">
        <f t="shared" ca="1" si="335"/>
        <v>-1.4342191191497138</v>
      </c>
      <c r="N753" s="357">
        <f t="shared" ca="1" si="336"/>
        <v>-82.174702424249148</v>
      </c>
      <c r="O753" s="343"/>
      <c r="P753" s="363">
        <f t="shared" ca="1" si="337"/>
        <v>23</v>
      </c>
      <c r="Q753" s="357">
        <f t="shared" ca="1" si="338"/>
        <v>0</v>
      </c>
      <c r="R753" s="359">
        <f t="shared" ca="1" si="339"/>
        <v>0</v>
      </c>
      <c r="S753" s="360">
        <f t="shared" ca="1" si="340"/>
        <v>8.6519999999999992</v>
      </c>
      <c r="T753" s="357">
        <f t="shared" ca="1" si="320"/>
        <v>84.87612</v>
      </c>
      <c r="U753" s="364">
        <f t="shared" ca="1" si="321"/>
        <v>0</v>
      </c>
      <c r="V753" s="359">
        <f t="shared" ca="1" si="322"/>
        <v>1.2263984222210187</v>
      </c>
      <c r="W753" s="357">
        <f t="shared" ca="1" si="323"/>
        <v>52.423878902171275</v>
      </c>
      <c r="X753" s="343"/>
      <c r="Y753" s="367" t="str">
        <f t="shared" ca="1" si="341"/>
        <v/>
      </c>
      <c r="Z753" s="368" t="str">
        <f t="shared" ca="1" si="342"/>
        <v/>
      </c>
      <c r="AA753" s="369" t="str">
        <f t="shared" ca="1" si="343"/>
        <v/>
      </c>
      <c r="AB753" s="344"/>
      <c r="AC753" s="363" t="e">
        <f t="shared" ca="1" si="344"/>
        <v>#N/A</v>
      </c>
      <c r="AD753" s="376" t="e">
        <f t="shared" ca="1" si="345"/>
        <v>#N/A</v>
      </c>
      <c r="AE753" s="377" t="e">
        <f t="shared" ca="1" si="324"/>
        <v>#N/A</v>
      </c>
      <c r="AF753" s="344"/>
      <c r="AG753" s="359">
        <f t="shared" ca="1" si="346"/>
        <v>3.6595236824968032</v>
      </c>
      <c r="AH753" s="357">
        <f t="shared" ca="1" si="347"/>
        <v>-6.0591225526451824</v>
      </c>
    </row>
    <row r="754" spans="1:34" x14ac:dyDescent="0.25">
      <c r="A754" s="402">
        <f t="shared" ca="1" si="325"/>
        <v>1E-4</v>
      </c>
      <c r="B754" s="357">
        <f t="shared" ca="1" si="326"/>
        <v>35.603400000000306</v>
      </c>
      <c r="C754" s="342"/>
      <c r="D754" s="359">
        <f t="shared" ca="1" si="327"/>
        <v>-0.82497323047309623</v>
      </c>
      <c r="E754" s="360">
        <f t="shared" ca="1" si="328"/>
        <v>-3.8072609329897151</v>
      </c>
      <c r="F754" s="357">
        <f t="shared" ca="1" si="329"/>
        <v>3.8956150532190592</v>
      </c>
      <c r="G754" s="359">
        <f t="shared" ca="1" si="330"/>
        <v>18.710451860428098</v>
      </c>
      <c r="H754" s="360">
        <f t="shared" ca="1" si="331"/>
        <v>-136.14353229175336</v>
      </c>
      <c r="I754" s="357">
        <f t="shared" ca="1" si="332"/>
        <v>137.42322363304206</v>
      </c>
      <c r="J754" s="359">
        <f t="shared" ca="1" si="333"/>
        <v>1009.0500868209435</v>
      </c>
      <c r="K754" s="360">
        <f t="shared" ca="1" si="334"/>
        <v>-11.422793750662612</v>
      </c>
      <c r="L754" s="357">
        <f t="shared" ca="1" si="319"/>
        <v>1009.114739725084</v>
      </c>
      <c r="M754" s="359">
        <f t="shared" ca="1" si="335"/>
        <v>-1.4342200910821832</v>
      </c>
      <c r="N754" s="357">
        <f t="shared" ca="1" si="336"/>
        <v>-82.174758111877608</v>
      </c>
      <c r="O754" s="343"/>
      <c r="P754" s="363">
        <f t="shared" ca="1" si="337"/>
        <v>23</v>
      </c>
      <c r="Q754" s="357">
        <f t="shared" ca="1" si="338"/>
        <v>0</v>
      </c>
      <c r="R754" s="359">
        <f t="shared" ca="1" si="339"/>
        <v>0</v>
      </c>
      <c r="S754" s="360">
        <f t="shared" ca="1" si="340"/>
        <v>8.6519999999999992</v>
      </c>
      <c r="T754" s="357">
        <f t="shared" ca="1" si="320"/>
        <v>84.87612</v>
      </c>
      <c r="U754" s="364">
        <f t="shared" ca="1" si="321"/>
        <v>0</v>
      </c>
      <c r="V754" s="359">
        <f t="shared" ca="1" si="322"/>
        <v>1.2264000918824964</v>
      </c>
      <c r="W754" s="357">
        <f t="shared" ca="1" si="323"/>
        <v>52.424229477664568</v>
      </c>
      <c r="X754" s="343"/>
      <c r="Y754" s="367" t="str">
        <f t="shared" ca="1" si="341"/>
        <v/>
      </c>
      <c r="Z754" s="368" t="str">
        <f t="shared" ca="1" si="342"/>
        <v/>
      </c>
      <c r="AA754" s="369" t="str">
        <f t="shared" ca="1" si="343"/>
        <v/>
      </c>
      <c r="AB754" s="344"/>
      <c r="AC754" s="363" t="e">
        <f t="shared" ca="1" si="344"/>
        <v>#N/A</v>
      </c>
      <c r="AD754" s="376" t="e">
        <f t="shared" ca="1" si="345"/>
        <v>#N/A</v>
      </c>
      <c r="AE754" s="377" t="e">
        <f t="shared" ca="1" si="324"/>
        <v>#N/A</v>
      </c>
      <c r="AF754" s="344"/>
      <c r="AG754" s="359">
        <f t="shared" ca="1" si="346"/>
        <v>3.6594844609584305</v>
      </c>
      <c r="AH754" s="357">
        <f t="shared" ca="1" si="347"/>
        <v>-6.0591630723730097</v>
      </c>
    </row>
    <row r="755" spans="1:34" x14ac:dyDescent="0.25">
      <c r="A755" s="402">
        <f t="shared" ca="1" si="325"/>
        <v>1E-4</v>
      </c>
      <c r="B755" s="357">
        <f t="shared" ca="1" si="326"/>
        <v>35.603500000000309</v>
      </c>
      <c r="C755" s="342"/>
      <c r="D755" s="359">
        <f t="shared" ca="1" si="327"/>
        <v>-0.82497291304043796</v>
      </c>
      <c r="E755" s="360">
        <f t="shared" ca="1" si="328"/>
        <v>-3.8072199889044853</v>
      </c>
      <c r="F755" s="357">
        <f t="shared" ca="1" si="329"/>
        <v>3.895574970548545</v>
      </c>
      <c r="G755" s="359">
        <f t="shared" ca="1" si="330"/>
        <v>18.710369363136795</v>
      </c>
      <c r="H755" s="360">
        <f t="shared" ca="1" si="331"/>
        <v>-136.14391301375224</v>
      </c>
      <c r="I755" s="357">
        <f t="shared" ca="1" si="332"/>
        <v>137.42358957763091</v>
      </c>
      <c r="J755" s="359">
        <f t="shared" ca="1" si="333"/>
        <v>1009.0500868209435</v>
      </c>
      <c r="K755" s="360">
        <f t="shared" ca="1" si="334"/>
        <v>-11.436408122927887</v>
      </c>
      <c r="L755" s="357">
        <f t="shared" ca="1" si="319"/>
        <v>1009.1148939264091</v>
      </c>
      <c r="M755" s="359">
        <f t="shared" ca="1" si="335"/>
        <v>-1.434221063005191</v>
      </c>
      <c r="N755" s="357">
        <f t="shared" ca="1" si="336"/>
        <v>-82.174813798963982</v>
      </c>
      <c r="O755" s="343"/>
      <c r="P755" s="363">
        <f t="shared" ca="1" si="337"/>
        <v>23</v>
      </c>
      <c r="Q755" s="357">
        <f t="shared" ca="1" si="338"/>
        <v>0</v>
      </c>
      <c r="R755" s="359">
        <f t="shared" ca="1" si="339"/>
        <v>0</v>
      </c>
      <c r="S755" s="360">
        <f t="shared" ca="1" si="340"/>
        <v>8.6519999999999992</v>
      </c>
      <c r="T755" s="357">
        <f t="shared" ca="1" si="320"/>
        <v>84.87612</v>
      </c>
      <c r="U755" s="364">
        <f t="shared" ca="1" si="321"/>
        <v>0</v>
      </c>
      <c r="V755" s="359">
        <f t="shared" ca="1" si="322"/>
        <v>1.2264017615509182</v>
      </c>
      <c r="W755" s="357">
        <f t="shared" ca="1" si="323"/>
        <v>52.424580051965954</v>
      </c>
      <c r="X755" s="343"/>
      <c r="Y755" s="367" t="str">
        <f t="shared" ca="1" si="341"/>
        <v/>
      </c>
      <c r="Z755" s="368" t="str">
        <f t="shared" ca="1" si="342"/>
        <v/>
      </c>
      <c r="AA755" s="369" t="str">
        <f t="shared" ca="1" si="343"/>
        <v/>
      </c>
      <c r="AB755" s="344"/>
      <c r="AC755" s="363" t="e">
        <f t="shared" ca="1" si="344"/>
        <v>#N/A</v>
      </c>
      <c r="AD755" s="376" t="e">
        <f t="shared" ca="1" si="345"/>
        <v>#N/A</v>
      </c>
      <c r="AE755" s="377" t="e">
        <f t="shared" ca="1" si="324"/>
        <v>#N/A</v>
      </c>
      <c r="AF755" s="344"/>
      <c r="AG755" s="359">
        <f t="shared" ca="1" si="346"/>
        <v>3.6594452395359971</v>
      </c>
      <c r="AH755" s="357">
        <f t="shared" ca="1" si="347"/>
        <v>-6.0592035919630804</v>
      </c>
    </row>
    <row r="756" spans="1:34" x14ac:dyDescent="0.25">
      <c r="A756" s="402">
        <f t="shared" ca="1" si="325"/>
        <v>1E-4</v>
      </c>
      <c r="B756" s="357">
        <f t="shared" ca="1" si="326"/>
        <v>35.603600000000313</v>
      </c>
      <c r="C756" s="342"/>
      <c r="D756" s="359">
        <f t="shared" ca="1" si="327"/>
        <v>-0.82497259556700875</v>
      </c>
      <c r="E756" s="360">
        <f t="shared" ca="1" si="328"/>
        <v>-3.8071790449584864</v>
      </c>
      <c r="F756" s="357">
        <f t="shared" ca="1" si="329"/>
        <v>3.8955348880234122</v>
      </c>
      <c r="G756" s="359">
        <f t="shared" ca="1" si="330"/>
        <v>18.71028686587724</v>
      </c>
      <c r="H756" s="360">
        <f t="shared" ca="1" si="331"/>
        <v>-136.14429373165675</v>
      </c>
      <c r="I756" s="357">
        <f t="shared" ca="1" si="332"/>
        <v>137.42395551829765</v>
      </c>
      <c r="J756" s="359">
        <f t="shared" ca="1" si="333"/>
        <v>1009.0500868209435</v>
      </c>
      <c r="K756" s="360">
        <f t="shared" ca="1" si="334"/>
        <v>-11.450022533265157</v>
      </c>
      <c r="L756" s="357">
        <f t="shared" ca="1" si="319"/>
        <v>1009.1150483118196</v>
      </c>
      <c r="M756" s="359">
        <f t="shared" ca="1" si="335"/>
        <v>-1.4342220349187371</v>
      </c>
      <c r="N756" s="357">
        <f t="shared" ca="1" si="336"/>
        <v>-82.174869485508225</v>
      </c>
      <c r="O756" s="343"/>
      <c r="P756" s="363">
        <f t="shared" ca="1" si="337"/>
        <v>23</v>
      </c>
      <c r="Q756" s="357">
        <f t="shared" ca="1" si="338"/>
        <v>0</v>
      </c>
      <c r="R756" s="359">
        <f t="shared" ca="1" si="339"/>
        <v>0</v>
      </c>
      <c r="S756" s="360">
        <f t="shared" ca="1" si="340"/>
        <v>8.6519999999999992</v>
      </c>
      <c r="T756" s="357">
        <f t="shared" ca="1" si="320"/>
        <v>84.87612</v>
      </c>
      <c r="U756" s="364">
        <f t="shared" ca="1" si="321"/>
        <v>0</v>
      </c>
      <c r="V756" s="359">
        <f t="shared" ca="1" si="322"/>
        <v>1.2264034312262835</v>
      </c>
      <c r="W756" s="357">
        <f t="shared" ca="1" si="323"/>
        <v>52.424930625075433</v>
      </c>
      <c r="X756" s="343"/>
      <c r="Y756" s="367" t="str">
        <f t="shared" ca="1" si="341"/>
        <v/>
      </c>
      <c r="Z756" s="368" t="str">
        <f t="shared" ca="1" si="342"/>
        <v/>
      </c>
      <c r="AA756" s="369" t="str">
        <f t="shared" ca="1" si="343"/>
        <v/>
      </c>
      <c r="AB756" s="344"/>
      <c r="AC756" s="363" t="e">
        <f t="shared" ca="1" si="344"/>
        <v>#N/A</v>
      </c>
      <c r="AD756" s="376" t="e">
        <f t="shared" ca="1" si="345"/>
        <v>#N/A</v>
      </c>
      <c r="AE756" s="377" t="e">
        <f t="shared" ca="1" si="324"/>
        <v>#N/A</v>
      </c>
      <c r="AF756" s="344"/>
      <c r="AG756" s="359">
        <f t="shared" ca="1" si="346"/>
        <v>3.6594060182295056</v>
      </c>
      <c r="AH756" s="357">
        <f t="shared" ca="1" si="347"/>
        <v>-6.0592441114153903</v>
      </c>
    </row>
    <row r="757" spans="1:34" x14ac:dyDescent="0.25">
      <c r="A757" s="402">
        <f t="shared" ca="1" si="325"/>
        <v>1E-4</v>
      </c>
      <c r="B757" s="357">
        <f t="shared" ca="1" si="326"/>
        <v>35.603700000000316</v>
      </c>
      <c r="C757" s="342"/>
      <c r="D757" s="359">
        <f t="shared" ca="1" si="327"/>
        <v>-0.8249722780528117</v>
      </c>
      <c r="E757" s="360">
        <f t="shared" ca="1" si="328"/>
        <v>-3.8071381011517174</v>
      </c>
      <c r="F757" s="357">
        <f t="shared" ca="1" si="329"/>
        <v>3.8954948056436618</v>
      </c>
      <c r="G757" s="359">
        <f t="shared" ca="1" si="330"/>
        <v>18.710204368649435</v>
      </c>
      <c r="H757" s="360">
        <f t="shared" ca="1" si="331"/>
        <v>-136.14467444546685</v>
      </c>
      <c r="I757" s="357">
        <f t="shared" ca="1" si="332"/>
        <v>137.42432145504225</v>
      </c>
      <c r="J757" s="359">
        <f t="shared" ca="1" si="333"/>
        <v>1009.0500868209435</v>
      </c>
      <c r="K757" s="360">
        <f t="shared" ca="1" si="334"/>
        <v>-11.463636981674012</v>
      </c>
      <c r="L757" s="357">
        <f t="shared" ca="1" si="319"/>
        <v>1009.1152028813168</v>
      </c>
      <c r="M757" s="359">
        <f t="shared" ca="1" si="335"/>
        <v>-1.4342230068228219</v>
      </c>
      <c r="N757" s="357">
        <f t="shared" ca="1" si="336"/>
        <v>-82.174925171510367</v>
      </c>
      <c r="O757" s="343"/>
      <c r="P757" s="363">
        <f t="shared" ca="1" si="337"/>
        <v>23</v>
      </c>
      <c r="Q757" s="357">
        <f t="shared" ca="1" si="338"/>
        <v>0</v>
      </c>
      <c r="R757" s="359">
        <f t="shared" ca="1" si="339"/>
        <v>0</v>
      </c>
      <c r="S757" s="360">
        <f t="shared" ca="1" si="340"/>
        <v>8.6519999999999992</v>
      </c>
      <c r="T757" s="357">
        <f t="shared" ca="1" si="320"/>
        <v>84.87612</v>
      </c>
      <c r="U757" s="364">
        <f t="shared" ca="1" si="321"/>
        <v>0</v>
      </c>
      <c r="V757" s="359">
        <f t="shared" ca="1" si="322"/>
        <v>1.2264051009085919</v>
      </c>
      <c r="W757" s="357">
        <f t="shared" ca="1" si="323"/>
        <v>52.425281196992955</v>
      </c>
      <c r="X757" s="343"/>
      <c r="Y757" s="367" t="str">
        <f t="shared" ca="1" si="341"/>
        <v/>
      </c>
      <c r="Z757" s="368" t="str">
        <f t="shared" ca="1" si="342"/>
        <v/>
      </c>
      <c r="AA757" s="369" t="str">
        <f t="shared" ca="1" si="343"/>
        <v/>
      </c>
      <c r="AB757" s="344"/>
      <c r="AC757" s="363" t="e">
        <f t="shared" ca="1" si="344"/>
        <v>#N/A</v>
      </c>
      <c r="AD757" s="376" t="e">
        <f t="shared" ca="1" si="345"/>
        <v>#N/A</v>
      </c>
      <c r="AE757" s="377" t="e">
        <f t="shared" ca="1" si="324"/>
        <v>#N/A</v>
      </c>
      <c r="AF757" s="344"/>
      <c r="AG757" s="359">
        <f t="shared" ca="1" si="346"/>
        <v>3.6593667970389578</v>
      </c>
      <c r="AH757" s="357">
        <f t="shared" ca="1" si="347"/>
        <v>-6.0592846307299393</v>
      </c>
    </row>
    <row r="758" spans="1:34" x14ac:dyDescent="0.25">
      <c r="A758" s="402">
        <f t="shared" ca="1" si="325"/>
        <v>1E-4</v>
      </c>
      <c r="B758" s="357">
        <f t="shared" ca="1" si="326"/>
        <v>35.603800000000319</v>
      </c>
      <c r="C758" s="342"/>
      <c r="D758" s="359">
        <f t="shared" ca="1" si="327"/>
        <v>-0.82497196049784483</v>
      </c>
      <c r="E758" s="360">
        <f t="shared" ca="1" si="328"/>
        <v>-3.8070971574841845</v>
      </c>
      <c r="F758" s="357">
        <f t="shared" ca="1" si="329"/>
        <v>3.8954547234092987</v>
      </c>
      <c r="G758" s="359">
        <f t="shared" ca="1" si="330"/>
        <v>18.710121871453385</v>
      </c>
      <c r="H758" s="360">
        <f t="shared" ca="1" si="331"/>
        <v>-136.1450551551826</v>
      </c>
      <c r="I758" s="357">
        <f t="shared" ca="1" si="332"/>
        <v>137.42468738786474</v>
      </c>
      <c r="J758" s="359">
        <f t="shared" ca="1" si="333"/>
        <v>1009.0500868209435</v>
      </c>
      <c r="K758" s="360">
        <f t="shared" ca="1" si="334"/>
        <v>-11.477251468154044</v>
      </c>
      <c r="L758" s="357">
        <f t="shared" ca="1" si="319"/>
        <v>1009.1153576349024</v>
      </c>
      <c r="M758" s="359">
        <f t="shared" ca="1" si="335"/>
        <v>-1.4342239787174456</v>
      </c>
      <c r="N758" s="357">
        <f t="shared" ca="1" si="336"/>
        <v>-82.174980856970436</v>
      </c>
      <c r="O758" s="343"/>
      <c r="P758" s="363">
        <f t="shared" ca="1" si="337"/>
        <v>23</v>
      </c>
      <c r="Q758" s="357">
        <f t="shared" ca="1" si="338"/>
        <v>0</v>
      </c>
      <c r="R758" s="359">
        <f t="shared" ca="1" si="339"/>
        <v>0</v>
      </c>
      <c r="S758" s="360">
        <f t="shared" ca="1" si="340"/>
        <v>8.6519999999999992</v>
      </c>
      <c r="T758" s="357">
        <f t="shared" ca="1" si="320"/>
        <v>84.87612</v>
      </c>
      <c r="U758" s="364">
        <f t="shared" ca="1" si="321"/>
        <v>0</v>
      </c>
      <c r="V758" s="359">
        <f t="shared" ca="1" si="322"/>
        <v>1.2264067705978445</v>
      </c>
      <c r="W758" s="357">
        <f t="shared" ca="1" si="323"/>
        <v>52.425631767718521</v>
      </c>
      <c r="X758" s="343"/>
      <c r="Y758" s="367" t="str">
        <f t="shared" ca="1" si="341"/>
        <v/>
      </c>
      <c r="Z758" s="368" t="str">
        <f t="shared" ca="1" si="342"/>
        <v/>
      </c>
      <c r="AA758" s="369" t="str">
        <f t="shared" ca="1" si="343"/>
        <v/>
      </c>
      <c r="AB758" s="344"/>
      <c r="AC758" s="363" t="e">
        <f t="shared" ca="1" si="344"/>
        <v>#N/A</v>
      </c>
      <c r="AD758" s="376" t="e">
        <f t="shared" ca="1" si="345"/>
        <v>#N/A</v>
      </c>
      <c r="AE758" s="377" t="e">
        <f t="shared" ca="1" si="324"/>
        <v>#N/A</v>
      </c>
      <c r="AF758" s="344"/>
      <c r="AG758" s="359">
        <f t="shared" ca="1" si="346"/>
        <v>3.6593275759643573</v>
      </c>
      <c r="AH758" s="357">
        <f t="shared" ca="1" si="347"/>
        <v>-6.059325149906722</v>
      </c>
    </row>
    <row r="759" spans="1:34" x14ac:dyDescent="0.25">
      <c r="A759" s="402">
        <f t="shared" ca="1" si="325"/>
        <v>1E-4</v>
      </c>
      <c r="B759" s="357">
        <f t="shared" ca="1" si="326"/>
        <v>35.603900000000323</v>
      </c>
      <c r="C759" s="342"/>
      <c r="D759" s="359">
        <f t="shared" ca="1" si="327"/>
        <v>-0.82497164290210845</v>
      </c>
      <c r="E759" s="360">
        <f t="shared" ca="1" si="328"/>
        <v>-3.8070562139558879</v>
      </c>
      <c r="F759" s="357">
        <f t="shared" ca="1" si="329"/>
        <v>3.8954146413203232</v>
      </c>
      <c r="G759" s="359">
        <f t="shared" ca="1" si="330"/>
        <v>18.710039374289096</v>
      </c>
      <c r="H759" s="360">
        <f t="shared" ca="1" si="331"/>
        <v>-136.14543586080399</v>
      </c>
      <c r="I759" s="357">
        <f t="shared" ca="1" si="332"/>
        <v>137.42505331676514</v>
      </c>
      <c r="J759" s="359">
        <f t="shared" ca="1" si="333"/>
        <v>1009.0500868209435</v>
      </c>
      <c r="K759" s="360">
        <f t="shared" ca="1" si="334"/>
        <v>-11.490865992704844</v>
      </c>
      <c r="L759" s="357">
        <f t="shared" ca="1" si="319"/>
        <v>1009.1155125725776</v>
      </c>
      <c r="M759" s="359">
        <f t="shared" ca="1" si="335"/>
        <v>-1.4342249506026079</v>
      </c>
      <c r="N759" s="357">
        <f t="shared" ca="1" si="336"/>
        <v>-82.175036541888403</v>
      </c>
      <c r="O759" s="343"/>
      <c r="P759" s="363">
        <f t="shared" ca="1" si="337"/>
        <v>23</v>
      </c>
      <c r="Q759" s="357">
        <f t="shared" ca="1" si="338"/>
        <v>0</v>
      </c>
      <c r="R759" s="359">
        <f t="shared" ca="1" si="339"/>
        <v>0</v>
      </c>
      <c r="S759" s="360">
        <f t="shared" ca="1" si="340"/>
        <v>8.6519999999999992</v>
      </c>
      <c r="T759" s="357">
        <f t="shared" ca="1" si="320"/>
        <v>84.87612</v>
      </c>
      <c r="U759" s="364">
        <f t="shared" ca="1" si="321"/>
        <v>0</v>
      </c>
      <c r="V759" s="359">
        <f t="shared" ca="1" si="322"/>
        <v>1.2264084402940405</v>
      </c>
      <c r="W759" s="357">
        <f t="shared" ca="1" si="323"/>
        <v>52.42598233725213</v>
      </c>
      <c r="X759" s="343"/>
      <c r="Y759" s="367" t="str">
        <f t="shared" ca="1" si="341"/>
        <v/>
      </c>
      <c r="Z759" s="368" t="str">
        <f t="shared" ca="1" si="342"/>
        <v/>
      </c>
      <c r="AA759" s="369" t="str">
        <f t="shared" ca="1" si="343"/>
        <v/>
      </c>
      <c r="AB759" s="344"/>
      <c r="AC759" s="363" t="e">
        <f t="shared" ca="1" si="344"/>
        <v>#N/A</v>
      </c>
      <c r="AD759" s="376" t="e">
        <f t="shared" ca="1" si="345"/>
        <v>#N/A</v>
      </c>
      <c r="AE759" s="377" t="e">
        <f t="shared" ca="1" si="324"/>
        <v>#N/A</v>
      </c>
      <c r="AF759" s="344"/>
      <c r="AG759" s="359">
        <f t="shared" ca="1" si="346"/>
        <v>3.6592883550057076</v>
      </c>
      <c r="AH759" s="357">
        <f t="shared" ca="1" si="347"/>
        <v>-6.0593656689457385</v>
      </c>
    </row>
    <row r="760" spans="1:34" x14ac:dyDescent="0.25">
      <c r="A760" s="402">
        <f t="shared" ca="1" si="325"/>
        <v>1E-4</v>
      </c>
      <c r="B760" s="357">
        <f t="shared" ca="1" si="326"/>
        <v>35.604000000000326</v>
      </c>
      <c r="C760" s="342"/>
      <c r="D760" s="359">
        <f t="shared" ca="1" si="327"/>
        <v>-0.82497132526560513</v>
      </c>
      <c r="E760" s="360">
        <f t="shared" ca="1" si="328"/>
        <v>-3.8070152705668274</v>
      </c>
      <c r="F760" s="357">
        <f t="shared" ca="1" si="329"/>
        <v>3.8953745593767364</v>
      </c>
      <c r="G760" s="359">
        <f t="shared" ca="1" si="330"/>
        <v>18.709956877156568</v>
      </c>
      <c r="H760" s="360">
        <f t="shared" ca="1" si="331"/>
        <v>-136.14581656233105</v>
      </c>
      <c r="I760" s="357">
        <f t="shared" ca="1" si="332"/>
        <v>137.42541924174347</v>
      </c>
      <c r="J760" s="359">
        <f t="shared" ca="1" si="333"/>
        <v>1009.0500868209435</v>
      </c>
      <c r="K760" s="360">
        <f t="shared" ca="1" si="334"/>
        <v>-11.504480555326001</v>
      </c>
      <c r="L760" s="357">
        <f t="shared" ca="1" si="319"/>
        <v>1009.1156676943439</v>
      </c>
      <c r="M760" s="359">
        <f t="shared" ca="1" si="335"/>
        <v>-1.4342259224783094</v>
      </c>
      <c r="N760" s="357">
        <f t="shared" ca="1" si="336"/>
        <v>-82.175092226264312</v>
      </c>
      <c r="O760" s="343"/>
      <c r="P760" s="363">
        <f t="shared" ca="1" si="337"/>
        <v>23</v>
      </c>
      <c r="Q760" s="357">
        <f t="shared" ca="1" si="338"/>
        <v>0</v>
      </c>
      <c r="R760" s="359">
        <f t="shared" ca="1" si="339"/>
        <v>0</v>
      </c>
      <c r="S760" s="360">
        <f t="shared" ca="1" si="340"/>
        <v>8.6519999999999992</v>
      </c>
      <c r="T760" s="357">
        <f t="shared" ca="1" si="320"/>
        <v>84.87612</v>
      </c>
      <c r="U760" s="364">
        <f t="shared" ca="1" si="321"/>
        <v>0</v>
      </c>
      <c r="V760" s="359">
        <f t="shared" ca="1" si="322"/>
        <v>1.2264101099971798</v>
      </c>
      <c r="W760" s="357">
        <f t="shared" ca="1" si="323"/>
        <v>52.426332905593718</v>
      </c>
      <c r="X760" s="343"/>
      <c r="Y760" s="367" t="str">
        <f t="shared" ca="1" si="341"/>
        <v/>
      </c>
      <c r="Z760" s="368" t="str">
        <f t="shared" ca="1" si="342"/>
        <v/>
      </c>
      <c r="AA760" s="369" t="str">
        <f t="shared" ca="1" si="343"/>
        <v/>
      </c>
      <c r="AB760" s="344"/>
      <c r="AC760" s="363" t="e">
        <f t="shared" ca="1" si="344"/>
        <v>#N/A</v>
      </c>
      <c r="AD760" s="376" t="e">
        <f t="shared" ca="1" si="345"/>
        <v>#N/A</v>
      </c>
      <c r="AE760" s="377" t="e">
        <f t="shared" ca="1" si="324"/>
        <v>#N/A</v>
      </c>
      <c r="AF760" s="344"/>
      <c r="AG760" s="359">
        <f t="shared" ca="1" si="346"/>
        <v>3.6592491341630105</v>
      </c>
      <c r="AH760" s="357">
        <f t="shared" ca="1" si="347"/>
        <v>-6.0594061878469869</v>
      </c>
    </row>
    <row r="761" spans="1:34" x14ac:dyDescent="0.25">
      <c r="A761" s="402">
        <f t="shared" ca="1" si="325"/>
        <v>1E-4</v>
      </c>
      <c r="B761" s="357">
        <f t="shared" ca="1" si="326"/>
        <v>35.604100000000329</v>
      </c>
      <c r="C761" s="342"/>
      <c r="D761" s="359">
        <f t="shared" ca="1" si="327"/>
        <v>-0.8249710075883333</v>
      </c>
      <c r="E761" s="360">
        <f t="shared" ca="1" si="328"/>
        <v>-3.8069743273170094</v>
      </c>
      <c r="F761" s="357">
        <f t="shared" ca="1" si="329"/>
        <v>3.8953344775785435</v>
      </c>
      <c r="G761" s="359">
        <f t="shared" ca="1" si="330"/>
        <v>18.709874380055808</v>
      </c>
      <c r="H761" s="360">
        <f t="shared" ca="1" si="331"/>
        <v>-136.14619725976377</v>
      </c>
      <c r="I761" s="357">
        <f t="shared" ca="1" si="332"/>
        <v>137.42578516279968</v>
      </c>
      <c r="J761" s="359">
        <f t="shared" ca="1" si="333"/>
        <v>1009.0500868209435</v>
      </c>
      <c r="K761" s="360">
        <f t="shared" ca="1" si="334"/>
        <v>-11.518095156017106</v>
      </c>
      <c r="L761" s="357">
        <f t="shared" ca="1" si="319"/>
        <v>1009.1158230002029</v>
      </c>
      <c r="M761" s="359">
        <f t="shared" ca="1" si="335"/>
        <v>-1.4342268943445502</v>
      </c>
      <c r="N761" s="357">
        <f t="shared" ca="1" si="336"/>
        <v>-82.175147910098161</v>
      </c>
      <c r="O761" s="343"/>
      <c r="P761" s="363">
        <f t="shared" ca="1" si="337"/>
        <v>23</v>
      </c>
      <c r="Q761" s="357">
        <f t="shared" ca="1" si="338"/>
        <v>0</v>
      </c>
      <c r="R761" s="359">
        <f t="shared" ca="1" si="339"/>
        <v>0</v>
      </c>
      <c r="S761" s="360">
        <f t="shared" ca="1" si="340"/>
        <v>8.6519999999999992</v>
      </c>
      <c r="T761" s="357">
        <f t="shared" ca="1" si="320"/>
        <v>84.87612</v>
      </c>
      <c r="U761" s="364">
        <f t="shared" ca="1" si="321"/>
        <v>0</v>
      </c>
      <c r="V761" s="359">
        <f t="shared" ca="1" si="322"/>
        <v>1.2264117797072627</v>
      </c>
      <c r="W761" s="357">
        <f t="shared" ca="1" si="323"/>
        <v>52.426683472743271</v>
      </c>
      <c r="X761" s="343"/>
      <c r="Y761" s="367" t="str">
        <f t="shared" ca="1" si="341"/>
        <v/>
      </c>
      <c r="Z761" s="368" t="str">
        <f t="shared" ca="1" si="342"/>
        <v/>
      </c>
      <c r="AA761" s="369" t="str">
        <f t="shared" ca="1" si="343"/>
        <v/>
      </c>
      <c r="AB761" s="344"/>
      <c r="AC761" s="363" t="e">
        <f t="shared" ca="1" si="344"/>
        <v>#N/A</v>
      </c>
      <c r="AD761" s="376" t="e">
        <f t="shared" ca="1" si="345"/>
        <v>#N/A</v>
      </c>
      <c r="AE761" s="377" t="e">
        <f t="shared" ca="1" si="324"/>
        <v>#N/A</v>
      </c>
      <c r="AF761" s="344"/>
      <c r="AG761" s="359">
        <f t="shared" ca="1" si="346"/>
        <v>3.6592099134362686</v>
      </c>
      <c r="AH761" s="357">
        <f t="shared" ca="1" si="347"/>
        <v>-6.0594467066104629</v>
      </c>
    </row>
    <row r="762" spans="1:34" x14ac:dyDescent="0.25">
      <c r="A762" s="402">
        <f t="shared" ca="1" si="325"/>
        <v>1E-4</v>
      </c>
      <c r="B762" s="357">
        <f t="shared" ca="1" si="326"/>
        <v>35.604200000000333</v>
      </c>
      <c r="C762" s="342"/>
      <c r="D762" s="359">
        <f t="shared" ca="1" si="327"/>
        <v>-0.82497068987029232</v>
      </c>
      <c r="E762" s="360">
        <f t="shared" ca="1" si="328"/>
        <v>-3.8069333842064381</v>
      </c>
      <c r="F762" s="357">
        <f t="shared" ca="1" si="329"/>
        <v>3.8952943959257493</v>
      </c>
      <c r="G762" s="359">
        <f t="shared" ca="1" si="330"/>
        <v>18.709791882986821</v>
      </c>
      <c r="H762" s="360">
        <f t="shared" ca="1" si="331"/>
        <v>-136.1465779531022</v>
      </c>
      <c r="I762" s="357">
        <f t="shared" ca="1" si="332"/>
        <v>137.42615107993387</v>
      </c>
      <c r="J762" s="359">
        <f t="shared" ca="1" si="333"/>
        <v>1009.0500868209435</v>
      </c>
      <c r="K762" s="360">
        <f t="shared" ca="1" si="334"/>
        <v>-11.531709794777749</v>
      </c>
      <c r="L762" s="357">
        <f t="shared" ca="1" si="319"/>
        <v>1009.1159784901558</v>
      </c>
      <c r="M762" s="359">
        <f t="shared" ca="1" si="335"/>
        <v>-1.4342278662013301</v>
      </c>
      <c r="N762" s="357">
        <f t="shared" ca="1" si="336"/>
        <v>-82.175203593389952</v>
      </c>
      <c r="O762" s="343"/>
      <c r="P762" s="363">
        <f t="shared" ca="1" si="337"/>
        <v>23</v>
      </c>
      <c r="Q762" s="357">
        <f t="shared" ca="1" si="338"/>
        <v>0</v>
      </c>
      <c r="R762" s="359">
        <f t="shared" ca="1" si="339"/>
        <v>0</v>
      </c>
      <c r="S762" s="360">
        <f t="shared" ca="1" si="340"/>
        <v>8.6519999999999992</v>
      </c>
      <c r="T762" s="357">
        <f t="shared" ca="1" si="320"/>
        <v>84.87612</v>
      </c>
      <c r="U762" s="364">
        <f t="shared" ca="1" si="321"/>
        <v>0</v>
      </c>
      <c r="V762" s="359">
        <f t="shared" ca="1" si="322"/>
        <v>1.2264134494242889</v>
      </c>
      <c r="W762" s="357">
        <f t="shared" ca="1" si="323"/>
        <v>52.427034038700803</v>
      </c>
      <c r="X762" s="343"/>
      <c r="Y762" s="367" t="str">
        <f t="shared" ca="1" si="341"/>
        <v/>
      </c>
      <c r="Z762" s="368" t="str">
        <f t="shared" ca="1" si="342"/>
        <v/>
      </c>
      <c r="AA762" s="369" t="str">
        <f t="shared" ca="1" si="343"/>
        <v/>
      </c>
      <c r="AB762" s="344"/>
      <c r="AC762" s="363" t="e">
        <f t="shared" ca="1" si="344"/>
        <v>#N/A</v>
      </c>
      <c r="AD762" s="376" t="e">
        <f t="shared" ca="1" si="345"/>
        <v>#N/A</v>
      </c>
      <c r="AE762" s="377" t="e">
        <f t="shared" ca="1" si="324"/>
        <v>#N/A</v>
      </c>
      <c r="AF762" s="344"/>
      <c r="AG762" s="359">
        <f t="shared" ca="1" si="346"/>
        <v>3.6591706928254899</v>
      </c>
      <c r="AH762" s="357">
        <f t="shared" ca="1" si="347"/>
        <v>-6.059487225236162</v>
      </c>
    </row>
    <row r="763" spans="1:34" x14ac:dyDescent="0.25">
      <c r="A763" s="402">
        <f t="shared" ca="1" si="325"/>
        <v>1E-4</v>
      </c>
      <c r="B763" s="357">
        <f t="shared" ca="1" si="326"/>
        <v>35.604300000000336</v>
      </c>
      <c r="C763" s="342"/>
      <c r="D763" s="359">
        <f t="shared" ca="1" si="327"/>
        <v>-0.82497037211148572</v>
      </c>
      <c r="E763" s="360">
        <f t="shared" ca="1" si="328"/>
        <v>-3.8068924412351093</v>
      </c>
      <c r="F763" s="357">
        <f t="shared" ca="1" si="329"/>
        <v>3.8952543144183505</v>
      </c>
      <c r="G763" s="359">
        <f t="shared" ca="1" si="330"/>
        <v>18.709709385949608</v>
      </c>
      <c r="H763" s="360">
        <f t="shared" ca="1" si="331"/>
        <v>-136.14695864234631</v>
      </c>
      <c r="I763" s="357">
        <f t="shared" ca="1" si="332"/>
        <v>137.42651699314601</v>
      </c>
      <c r="J763" s="359">
        <f t="shared" ca="1" si="333"/>
        <v>1009.0500868209435</v>
      </c>
      <c r="K763" s="360">
        <f t="shared" ca="1" si="334"/>
        <v>-11.545324471607522</v>
      </c>
      <c r="L763" s="357">
        <f t="shared" ca="1" si="319"/>
        <v>1009.1161341642043</v>
      </c>
      <c r="M763" s="359">
        <f t="shared" ca="1" si="335"/>
        <v>-1.4342288380486494</v>
      </c>
      <c r="N763" s="357">
        <f t="shared" ca="1" si="336"/>
        <v>-82.17525927613967</v>
      </c>
      <c r="O763" s="343"/>
      <c r="P763" s="363">
        <f t="shared" ca="1" si="337"/>
        <v>23</v>
      </c>
      <c r="Q763" s="357">
        <f t="shared" ca="1" si="338"/>
        <v>0</v>
      </c>
      <c r="R763" s="359">
        <f t="shared" ca="1" si="339"/>
        <v>0</v>
      </c>
      <c r="S763" s="360">
        <f t="shared" ca="1" si="340"/>
        <v>8.6519999999999992</v>
      </c>
      <c r="T763" s="357">
        <f t="shared" ca="1" si="320"/>
        <v>84.87612</v>
      </c>
      <c r="U763" s="364">
        <f t="shared" ca="1" si="321"/>
        <v>0</v>
      </c>
      <c r="V763" s="359">
        <f t="shared" ca="1" si="322"/>
        <v>1.2264151191482586</v>
      </c>
      <c r="W763" s="357">
        <f t="shared" ca="1" si="323"/>
        <v>52.42738460346628</v>
      </c>
      <c r="X763" s="343"/>
      <c r="Y763" s="367" t="str">
        <f t="shared" ca="1" si="341"/>
        <v/>
      </c>
      <c r="Z763" s="368" t="str">
        <f t="shared" ca="1" si="342"/>
        <v/>
      </c>
      <c r="AA763" s="369" t="str">
        <f t="shared" ca="1" si="343"/>
        <v/>
      </c>
      <c r="AB763" s="344"/>
      <c r="AC763" s="363" t="e">
        <f t="shared" ca="1" si="344"/>
        <v>#N/A</v>
      </c>
      <c r="AD763" s="376" t="e">
        <f t="shared" ca="1" si="345"/>
        <v>#N/A</v>
      </c>
      <c r="AE763" s="377" t="e">
        <f t="shared" ca="1" si="324"/>
        <v>#N/A</v>
      </c>
      <c r="AF763" s="344"/>
      <c r="AG763" s="359">
        <f t="shared" ca="1" si="346"/>
        <v>3.6591314723306692</v>
      </c>
      <c r="AH763" s="357">
        <f t="shared" ca="1" si="347"/>
        <v>-6.0595277437240878</v>
      </c>
    </row>
    <row r="764" spans="1:34" x14ac:dyDescent="0.25">
      <c r="A764" s="402">
        <f t="shared" ca="1" si="325"/>
        <v>1E-4</v>
      </c>
      <c r="B764" s="357">
        <f t="shared" ca="1" si="326"/>
        <v>35.604400000000339</v>
      </c>
      <c r="C764" s="342"/>
      <c r="D764" s="359">
        <f t="shared" ca="1" si="327"/>
        <v>-0.82497005431191306</v>
      </c>
      <c r="E764" s="360">
        <f t="shared" ca="1" si="328"/>
        <v>-3.8068514984030282</v>
      </c>
      <c r="F764" s="357">
        <f t="shared" ca="1" si="329"/>
        <v>3.8952142330563517</v>
      </c>
      <c r="G764" s="359">
        <f t="shared" ca="1" si="330"/>
        <v>18.709626888944179</v>
      </c>
      <c r="H764" s="360">
        <f t="shared" ca="1" si="331"/>
        <v>-136.14733932749616</v>
      </c>
      <c r="I764" s="357">
        <f t="shared" ca="1" si="332"/>
        <v>137.42688290243609</v>
      </c>
      <c r="J764" s="359">
        <f t="shared" ca="1" si="333"/>
        <v>1009.0500868209435</v>
      </c>
      <c r="K764" s="360">
        <f t="shared" ca="1" si="334"/>
        <v>-11.558939186506015</v>
      </c>
      <c r="L764" s="357">
        <f t="shared" ca="1" si="319"/>
        <v>1009.1162900223497</v>
      </c>
      <c r="M764" s="359">
        <f t="shared" ca="1" si="335"/>
        <v>-1.4342298098865085</v>
      </c>
      <c r="N764" s="357">
        <f t="shared" ca="1" si="336"/>
        <v>-82.175314958347371</v>
      </c>
      <c r="O764" s="343"/>
      <c r="P764" s="363">
        <f t="shared" ca="1" si="337"/>
        <v>23</v>
      </c>
      <c r="Q764" s="357">
        <f t="shared" ca="1" si="338"/>
        <v>0</v>
      </c>
      <c r="R764" s="359">
        <f t="shared" ca="1" si="339"/>
        <v>0</v>
      </c>
      <c r="S764" s="360">
        <f t="shared" ca="1" si="340"/>
        <v>8.6519999999999992</v>
      </c>
      <c r="T764" s="357">
        <f t="shared" ca="1" si="320"/>
        <v>84.87612</v>
      </c>
      <c r="U764" s="364">
        <f t="shared" ca="1" si="321"/>
        <v>0</v>
      </c>
      <c r="V764" s="359">
        <f t="shared" ca="1" si="322"/>
        <v>1.2264167888791717</v>
      </c>
      <c r="W764" s="357">
        <f t="shared" ca="1" si="323"/>
        <v>52.427735167039643</v>
      </c>
      <c r="X764" s="343"/>
      <c r="Y764" s="367" t="str">
        <f t="shared" ca="1" si="341"/>
        <v/>
      </c>
      <c r="Z764" s="368" t="str">
        <f t="shared" ca="1" si="342"/>
        <v/>
      </c>
      <c r="AA764" s="369" t="str">
        <f t="shared" ca="1" si="343"/>
        <v/>
      </c>
      <c r="AB764" s="344"/>
      <c r="AC764" s="363" t="e">
        <f t="shared" ca="1" si="344"/>
        <v>#N/A</v>
      </c>
      <c r="AD764" s="376" t="e">
        <f t="shared" ca="1" si="345"/>
        <v>#N/A</v>
      </c>
      <c r="AE764" s="377" t="e">
        <f t="shared" ca="1" si="324"/>
        <v>#N/A</v>
      </c>
      <c r="AF764" s="344"/>
      <c r="AG764" s="359">
        <f t="shared" ca="1" si="346"/>
        <v>3.659092251951809</v>
      </c>
      <c r="AH764" s="357">
        <f t="shared" ca="1" si="347"/>
        <v>-6.0595682620742357</v>
      </c>
    </row>
    <row r="765" spans="1:34" x14ac:dyDescent="0.25">
      <c r="A765" s="402">
        <f t="shared" ca="1" si="325"/>
        <v>1E-4</v>
      </c>
      <c r="B765" s="357">
        <f t="shared" ca="1" si="326"/>
        <v>35.604500000000343</v>
      </c>
      <c r="C765" s="342"/>
      <c r="D765" s="359">
        <f t="shared" ca="1" si="327"/>
        <v>-0.82496973647157212</v>
      </c>
      <c r="E765" s="360">
        <f t="shared" ca="1" si="328"/>
        <v>-3.8068105557102028</v>
      </c>
      <c r="F765" s="357">
        <f t="shared" ca="1" si="329"/>
        <v>3.8951741518397607</v>
      </c>
      <c r="G765" s="359">
        <f t="shared" ca="1" si="330"/>
        <v>18.709544391970532</v>
      </c>
      <c r="H765" s="360">
        <f t="shared" ca="1" si="331"/>
        <v>-136.14772000855172</v>
      </c>
      <c r="I765" s="357">
        <f t="shared" ca="1" si="332"/>
        <v>137.42724880780415</v>
      </c>
      <c r="J765" s="359">
        <f t="shared" ca="1" si="333"/>
        <v>1009.0500868209435</v>
      </c>
      <c r="K765" s="360">
        <f t="shared" ca="1" si="334"/>
        <v>-11.572553939472817</v>
      </c>
      <c r="L765" s="357">
        <f t="shared" ca="1" si="319"/>
        <v>1009.1164460645936</v>
      </c>
      <c r="M765" s="359">
        <f t="shared" ca="1" si="335"/>
        <v>-1.4342307817149071</v>
      </c>
      <c r="N765" s="357">
        <f t="shared" ca="1" si="336"/>
        <v>-82.175370640013028</v>
      </c>
      <c r="O765" s="343"/>
      <c r="P765" s="363">
        <f t="shared" ca="1" si="337"/>
        <v>23</v>
      </c>
      <c r="Q765" s="357">
        <f t="shared" ca="1" si="338"/>
        <v>0</v>
      </c>
      <c r="R765" s="359">
        <f t="shared" ca="1" si="339"/>
        <v>0</v>
      </c>
      <c r="S765" s="360">
        <f t="shared" ca="1" si="340"/>
        <v>8.6519999999999992</v>
      </c>
      <c r="T765" s="357">
        <f t="shared" ca="1" si="320"/>
        <v>84.87612</v>
      </c>
      <c r="U765" s="364">
        <f t="shared" ca="1" si="321"/>
        <v>0</v>
      </c>
      <c r="V765" s="359">
        <f t="shared" ca="1" si="322"/>
        <v>1.2264184586170284</v>
      </c>
      <c r="W765" s="357">
        <f t="shared" ca="1" si="323"/>
        <v>52.428085729420921</v>
      </c>
      <c r="X765" s="343"/>
      <c r="Y765" s="367" t="str">
        <f t="shared" ca="1" si="341"/>
        <v/>
      </c>
      <c r="Z765" s="368" t="str">
        <f t="shared" ca="1" si="342"/>
        <v/>
      </c>
      <c r="AA765" s="369" t="str">
        <f t="shared" ca="1" si="343"/>
        <v/>
      </c>
      <c r="AB765" s="344"/>
      <c r="AC765" s="363" t="e">
        <f t="shared" ca="1" si="344"/>
        <v>#N/A</v>
      </c>
      <c r="AD765" s="376" t="e">
        <f t="shared" ca="1" si="345"/>
        <v>#N/A</v>
      </c>
      <c r="AE765" s="377" t="e">
        <f t="shared" ca="1" si="324"/>
        <v>#N/A</v>
      </c>
      <c r="AF765" s="344"/>
      <c r="AG765" s="359">
        <f t="shared" ca="1" si="346"/>
        <v>3.6590530316889245</v>
      </c>
      <c r="AH765" s="357">
        <f t="shared" ca="1" si="347"/>
        <v>-6.0596087802865979</v>
      </c>
    </row>
    <row r="766" spans="1:34" x14ac:dyDescent="0.25">
      <c r="A766" s="402">
        <f t="shared" ca="1" si="325"/>
        <v>1E-4</v>
      </c>
      <c r="B766" s="357">
        <f t="shared" ca="1" si="326"/>
        <v>35.604600000000346</v>
      </c>
      <c r="C766" s="342"/>
      <c r="D766" s="359">
        <f t="shared" ca="1" si="327"/>
        <v>-0.82496941859046669</v>
      </c>
      <c r="E766" s="360">
        <f t="shared" ca="1" si="328"/>
        <v>-3.806769613156626</v>
      </c>
      <c r="F766" s="357">
        <f t="shared" ca="1" si="329"/>
        <v>3.8951340707685711</v>
      </c>
      <c r="G766" s="359">
        <f t="shared" ca="1" si="330"/>
        <v>18.709461895028674</v>
      </c>
      <c r="H766" s="360">
        <f t="shared" ca="1" si="331"/>
        <v>-136.14810068551304</v>
      </c>
      <c r="I766" s="357">
        <f t="shared" ca="1" si="332"/>
        <v>137.42761470925024</v>
      </c>
      <c r="J766" s="359">
        <f t="shared" ca="1" si="333"/>
        <v>1009.0500868209435</v>
      </c>
      <c r="K766" s="360">
        <f t="shared" ca="1" si="334"/>
        <v>-11.58616873050752</v>
      </c>
      <c r="L766" s="357">
        <f t="shared" ca="1" si="319"/>
        <v>1009.1166022909372</v>
      </c>
      <c r="M766" s="359">
        <f t="shared" ca="1" si="335"/>
        <v>-1.4342317535338458</v>
      </c>
      <c r="N766" s="357">
        <f t="shared" ca="1" si="336"/>
        <v>-82.175426321136655</v>
      </c>
      <c r="O766" s="343"/>
      <c r="P766" s="363">
        <f t="shared" ca="1" si="337"/>
        <v>23</v>
      </c>
      <c r="Q766" s="357">
        <f t="shared" ca="1" si="338"/>
        <v>0</v>
      </c>
      <c r="R766" s="359">
        <f t="shared" ca="1" si="339"/>
        <v>0</v>
      </c>
      <c r="S766" s="360">
        <f t="shared" ca="1" si="340"/>
        <v>8.6519999999999992</v>
      </c>
      <c r="T766" s="357">
        <f t="shared" ca="1" si="320"/>
        <v>84.87612</v>
      </c>
      <c r="U766" s="364">
        <f t="shared" ca="1" si="321"/>
        <v>0</v>
      </c>
      <c r="V766" s="359">
        <f t="shared" ca="1" si="322"/>
        <v>1.2264201283618281</v>
      </c>
      <c r="W766" s="357">
        <f t="shared" ca="1" si="323"/>
        <v>52.428436290610108</v>
      </c>
      <c r="X766" s="343"/>
      <c r="Y766" s="367" t="str">
        <f t="shared" ca="1" si="341"/>
        <v/>
      </c>
      <c r="Z766" s="368" t="str">
        <f t="shared" ca="1" si="342"/>
        <v/>
      </c>
      <c r="AA766" s="369" t="str">
        <f t="shared" ca="1" si="343"/>
        <v/>
      </c>
      <c r="AB766" s="344"/>
      <c r="AC766" s="363" t="e">
        <f t="shared" ca="1" si="344"/>
        <v>#N/A</v>
      </c>
      <c r="AD766" s="376" t="e">
        <f t="shared" ca="1" si="345"/>
        <v>#N/A</v>
      </c>
      <c r="AE766" s="377" t="e">
        <f t="shared" ca="1" si="324"/>
        <v>#N/A</v>
      </c>
      <c r="AF766" s="344"/>
      <c r="AG766" s="359">
        <f t="shared" ca="1" si="346"/>
        <v>3.659013811542005</v>
      </c>
      <c r="AH766" s="357">
        <f t="shared" ca="1" si="347"/>
        <v>-6.0596492983611796</v>
      </c>
    </row>
    <row r="767" spans="1:34" x14ac:dyDescent="0.25">
      <c r="A767" s="402">
        <f t="shared" ca="1" si="325"/>
        <v>1E-4</v>
      </c>
      <c r="B767" s="357">
        <f t="shared" ca="1" si="326"/>
        <v>35.604700000000349</v>
      </c>
      <c r="C767" s="342"/>
      <c r="D767" s="359">
        <f t="shared" ca="1" si="327"/>
        <v>-0.82496910066859508</v>
      </c>
      <c r="E767" s="360">
        <f t="shared" ca="1" si="328"/>
        <v>-3.8067286707423031</v>
      </c>
      <c r="F767" s="357">
        <f t="shared" ca="1" si="329"/>
        <v>3.8950939898427883</v>
      </c>
      <c r="G767" s="359">
        <f t="shared" ca="1" si="330"/>
        <v>18.709379398118607</v>
      </c>
      <c r="H767" s="360">
        <f t="shared" ca="1" si="331"/>
        <v>-136.14848135838011</v>
      </c>
      <c r="I767" s="357">
        <f t="shared" ca="1" si="332"/>
        <v>137.42798060677427</v>
      </c>
      <c r="J767" s="359">
        <f t="shared" ca="1" si="333"/>
        <v>1009.0500868209435</v>
      </c>
      <c r="K767" s="360">
        <f t="shared" ca="1" si="334"/>
        <v>-11.599783559609715</v>
      </c>
      <c r="L767" s="357">
        <f t="shared" ca="1" si="319"/>
        <v>1009.1167587013821</v>
      </c>
      <c r="M767" s="359">
        <f t="shared" ca="1" si="335"/>
        <v>-1.4342327253433245</v>
      </c>
      <c r="N767" s="357">
        <f t="shared" ca="1" si="336"/>
        <v>-82.175482001718279</v>
      </c>
      <c r="O767" s="343"/>
      <c r="P767" s="363">
        <f t="shared" ca="1" si="337"/>
        <v>23</v>
      </c>
      <c r="Q767" s="357">
        <f t="shared" ca="1" si="338"/>
        <v>0</v>
      </c>
      <c r="R767" s="359">
        <f t="shared" ca="1" si="339"/>
        <v>0</v>
      </c>
      <c r="S767" s="360">
        <f t="shared" ca="1" si="340"/>
        <v>8.6519999999999992</v>
      </c>
      <c r="T767" s="357">
        <f t="shared" ca="1" si="320"/>
        <v>84.87612</v>
      </c>
      <c r="U767" s="364">
        <f t="shared" ca="1" si="321"/>
        <v>0</v>
      </c>
      <c r="V767" s="359">
        <f t="shared" ca="1" si="322"/>
        <v>1.2264217981135714</v>
      </c>
      <c r="W767" s="357">
        <f t="shared" ca="1" si="323"/>
        <v>52.428786850607125</v>
      </c>
      <c r="X767" s="343"/>
      <c r="Y767" s="367" t="str">
        <f t="shared" ca="1" si="341"/>
        <v/>
      </c>
      <c r="Z767" s="368" t="str">
        <f t="shared" ca="1" si="342"/>
        <v/>
      </c>
      <c r="AA767" s="369" t="str">
        <f t="shared" ca="1" si="343"/>
        <v/>
      </c>
      <c r="AB767" s="344"/>
      <c r="AC767" s="363" t="e">
        <f t="shared" ca="1" si="344"/>
        <v>#N/A</v>
      </c>
      <c r="AD767" s="376" t="e">
        <f t="shared" ca="1" si="345"/>
        <v>#N/A</v>
      </c>
      <c r="AE767" s="377" t="e">
        <f t="shared" ca="1" si="324"/>
        <v>#N/A</v>
      </c>
      <c r="AF767" s="344"/>
      <c r="AG767" s="359">
        <f t="shared" ca="1" si="346"/>
        <v>3.6589745915110523</v>
      </c>
      <c r="AH767" s="357">
        <f t="shared" ca="1" si="347"/>
        <v>-6.0596898162979791</v>
      </c>
    </row>
    <row r="768" spans="1:34" x14ac:dyDescent="0.25">
      <c r="A768" s="402">
        <f t="shared" ca="1" si="325"/>
        <v>1E-4</v>
      </c>
      <c r="B768" s="357">
        <f t="shared" ca="1" si="326"/>
        <v>35.604800000000353</v>
      </c>
      <c r="C768" s="342"/>
      <c r="D768" s="359">
        <f t="shared" ca="1" si="327"/>
        <v>-0.82496878270595775</v>
      </c>
      <c r="E768" s="360">
        <f t="shared" ca="1" si="328"/>
        <v>-3.8066877284672405</v>
      </c>
      <c r="F768" s="357">
        <f t="shared" ca="1" si="329"/>
        <v>3.895053909062419</v>
      </c>
      <c r="G768" s="359">
        <f t="shared" ca="1" si="330"/>
        <v>18.709296901240336</v>
      </c>
      <c r="H768" s="360">
        <f t="shared" ca="1" si="331"/>
        <v>-136.14886202715294</v>
      </c>
      <c r="I768" s="357">
        <f t="shared" ca="1" si="332"/>
        <v>137.42834650037631</v>
      </c>
      <c r="J768" s="359">
        <f t="shared" ca="1" si="333"/>
        <v>1009.0500868209435</v>
      </c>
      <c r="K768" s="360">
        <f t="shared" ca="1" si="334"/>
        <v>-11.613398426778993</v>
      </c>
      <c r="L768" s="357">
        <f t="shared" ca="1" si="319"/>
        <v>1009.1169152959297</v>
      </c>
      <c r="M768" s="359">
        <f t="shared" ca="1" si="335"/>
        <v>-1.4342336971433434</v>
      </c>
      <c r="N768" s="357">
        <f t="shared" ca="1" si="336"/>
        <v>-82.175537681757888</v>
      </c>
      <c r="O768" s="343"/>
      <c r="P768" s="363">
        <f t="shared" ca="1" si="337"/>
        <v>23</v>
      </c>
      <c r="Q768" s="357">
        <f t="shared" ca="1" si="338"/>
        <v>0</v>
      </c>
      <c r="R768" s="359">
        <f t="shared" ca="1" si="339"/>
        <v>0</v>
      </c>
      <c r="S768" s="360">
        <f t="shared" ca="1" si="340"/>
        <v>8.6519999999999992</v>
      </c>
      <c r="T768" s="357">
        <f t="shared" ca="1" si="320"/>
        <v>84.87612</v>
      </c>
      <c r="U768" s="364">
        <f t="shared" ca="1" si="321"/>
        <v>0</v>
      </c>
      <c r="V768" s="359">
        <f t="shared" ca="1" si="322"/>
        <v>1.2264234678722581</v>
      </c>
      <c r="W768" s="357">
        <f t="shared" ca="1" si="323"/>
        <v>52.429137409411958</v>
      </c>
      <c r="X768" s="343"/>
      <c r="Y768" s="367" t="str">
        <f t="shared" ca="1" si="341"/>
        <v/>
      </c>
      <c r="Z768" s="368" t="str">
        <f t="shared" ca="1" si="342"/>
        <v/>
      </c>
      <c r="AA768" s="369" t="str">
        <f t="shared" ca="1" si="343"/>
        <v/>
      </c>
      <c r="AB768" s="344"/>
      <c r="AC768" s="363" t="e">
        <f t="shared" ca="1" si="344"/>
        <v>#N/A</v>
      </c>
      <c r="AD768" s="376" t="e">
        <f t="shared" ca="1" si="345"/>
        <v>#N/A</v>
      </c>
      <c r="AE768" s="377" t="e">
        <f t="shared" ca="1" si="324"/>
        <v>#N/A</v>
      </c>
      <c r="AF768" s="344"/>
      <c r="AG768" s="359">
        <f t="shared" ca="1" si="346"/>
        <v>3.6589353715960815</v>
      </c>
      <c r="AH768" s="357">
        <f t="shared" ca="1" si="347"/>
        <v>-6.0597303340969866</v>
      </c>
    </row>
    <row r="769" spans="1:34" x14ac:dyDescent="0.25">
      <c r="A769" s="402">
        <f t="shared" ca="1" si="325"/>
        <v>1E-4</v>
      </c>
      <c r="B769" s="357">
        <f t="shared" ca="1" si="326"/>
        <v>35.604900000000356</v>
      </c>
      <c r="C769" s="342"/>
      <c r="D769" s="359">
        <f t="shared" ca="1" si="327"/>
        <v>-0.82496846470255492</v>
      </c>
      <c r="E769" s="360">
        <f t="shared" ca="1" si="328"/>
        <v>-3.8066467863314397</v>
      </c>
      <c r="F769" s="357">
        <f t="shared" ca="1" si="329"/>
        <v>3.8950138284274636</v>
      </c>
      <c r="G769" s="359">
        <f t="shared" ca="1" si="330"/>
        <v>18.709214404393865</v>
      </c>
      <c r="H769" s="360">
        <f t="shared" ca="1" si="331"/>
        <v>-136.14924269183157</v>
      </c>
      <c r="I769" s="357">
        <f t="shared" ca="1" si="332"/>
        <v>137.42871239005635</v>
      </c>
      <c r="J769" s="359">
        <f t="shared" ca="1" si="333"/>
        <v>1009.0500868209435</v>
      </c>
      <c r="K769" s="360">
        <f t="shared" ca="1" si="334"/>
        <v>-11.627013332014942</v>
      </c>
      <c r="L769" s="357">
        <f t="shared" ca="1" si="319"/>
        <v>1009.1170720745816</v>
      </c>
      <c r="M769" s="359">
        <f t="shared" ca="1" si="335"/>
        <v>-1.4342346689339025</v>
      </c>
      <c r="N769" s="357">
        <f t="shared" ca="1" si="336"/>
        <v>-82.175593361255494</v>
      </c>
      <c r="O769" s="343"/>
      <c r="P769" s="363">
        <f t="shared" ca="1" si="337"/>
        <v>23</v>
      </c>
      <c r="Q769" s="357">
        <f t="shared" ca="1" si="338"/>
        <v>0</v>
      </c>
      <c r="R769" s="359">
        <f t="shared" ca="1" si="339"/>
        <v>0</v>
      </c>
      <c r="S769" s="360">
        <f t="shared" ca="1" si="340"/>
        <v>8.6519999999999992</v>
      </c>
      <c r="T769" s="357">
        <f t="shared" ca="1" si="320"/>
        <v>84.87612</v>
      </c>
      <c r="U769" s="364">
        <f t="shared" ca="1" si="321"/>
        <v>0</v>
      </c>
      <c r="V769" s="359">
        <f t="shared" ca="1" si="322"/>
        <v>1.2264251376378876</v>
      </c>
      <c r="W769" s="357">
        <f t="shared" ca="1" si="323"/>
        <v>52.429487967024592</v>
      </c>
      <c r="X769" s="343"/>
      <c r="Y769" s="367" t="str">
        <f t="shared" ca="1" si="341"/>
        <v/>
      </c>
      <c r="Z769" s="368" t="str">
        <f t="shared" ca="1" si="342"/>
        <v/>
      </c>
      <c r="AA769" s="369" t="str">
        <f t="shared" ca="1" si="343"/>
        <v/>
      </c>
      <c r="AB769" s="344"/>
      <c r="AC769" s="363" t="e">
        <f t="shared" ca="1" si="344"/>
        <v>#N/A</v>
      </c>
      <c r="AD769" s="376" t="e">
        <f t="shared" ca="1" si="345"/>
        <v>#N/A</v>
      </c>
      <c r="AE769" s="377" t="e">
        <f t="shared" ca="1" si="324"/>
        <v>#N/A</v>
      </c>
      <c r="AF769" s="344"/>
      <c r="AG769" s="359">
        <f t="shared" ca="1" si="346"/>
        <v>3.658896151797089</v>
      </c>
      <c r="AH769" s="357">
        <f t="shared" ca="1" si="347"/>
        <v>-6.0597708517582021</v>
      </c>
    </row>
    <row r="770" spans="1:34" x14ac:dyDescent="0.25">
      <c r="A770" s="402">
        <f t="shared" ca="1" si="325"/>
        <v>1E-4</v>
      </c>
      <c r="B770" s="357">
        <f t="shared" ca="1" si="326"/>
        <v>35.605000000000359</v>
      </c>
      <c r="C770" s="342"/>
      <c r="D770" s="359">
        <f t="shared" ca="1" si="327"/>
        <v>-0.82496814665838747</v>
      </c>
      <c r="E770" s="360">
        <f t="shared" ca="1" si="328"/>
        <v>-3.8066058443349045</v>
      </c>
      <c r="F770" s="357">
        <f t="shared" ca="1" si="329"/>
        <v>3.8949737479379274</v>
      </c>
      <c r="G770" s="359">
        <f t="shared" ca="1" si="330"/>
        <v>18.709131907579199</v>
      </c>
      <c r="H770" s="360">
        <f t="shared" ca="1" si="331"/>
        <v>-136.149623352416</v>
      </c>
      <c r="I770" s="357">
        <f t="shared" ca="1" si="332"/>
        <v>137.42907827581445</v>
      </c>
      <c r="J770" s="359">
        <f t="shared" ca="1" si="333"/>
        <v>1009.0500868209435</v>
      </c>
      <c r="K770" s="360">
        <f t="shared" ca="1" si="334"/>
        <v>-11.640628275317153</v>
      </c>
      <c r="L770" s="357">
        <f t="shared" ca="1" si="319"/>
        <v>1009.1172290373393</v>
      </c>
      <c r="M770" s="359">
        <f t="shared" ca="1" si="335"/>
        <v>-1.4342356407150021</v>
      </c>
      <c r="N770" s="357">
        <f t="shared" ca="1" si="336"/>
        <v>-82.175649040211113</v>
      </c>
      <c r="O770" s="343"/>
      <c r="P770" s="363">
        <f t="shared" ca="1" si="337"/>
        <v>23</v>
      </c>
      <c r="Q770" s="357">
        <f t="shared" ca="1" si="338"/>
        <v>0</v>
      </c>
      <c r="R770" s="359">
        <f t="shared" ca="1" si="339"/>
        <v>0</v>
      </c>
      <c r="S770" s="360">
        <f t="shared" ca="1" si="340"/>
        <v>8.6519999999999992</v>
      </c>
      <c r="T770" s="357">
        <f t="shared" ca="1" si="320"/>
        <v>84.87612</v>
      </c>
      <c r="U770" s="364">
        <f t="shared" ca="1" si="321"/>
        <v>0</v>
      </c>
      <c r="V770" s="359">
        <f t="shared" ca="1" si="322"/>
        <v>1.2264268074104607</v>
      </c>
      <c r="W770" s="357">
        <f t="shared" ca="1" si="323"/>
        <v>52.429838523445049</v>
      </c>
      <c r="X770" s="343"/>
      <c r="Y770" s="367" t="str">
        <f t="shared" ca="1" si="341"/>
        <v/>
      </c>
      <c r="Z770" s="368" t="str">
        <f t="shared" ca="1" si="342"/>
        <v/>
      </c>
      <c r="AA770" s="369" t="str">
        <f t="shared" ca="1" si="343"/>
        <v/>
      </c>
      <c r="AB770" s="344"/>
      <c r="AC770" s="363" t="e">
        <f t="shared" ca="1" si="344"/>
        <v>#N/A</v>
      </c>
      <c r="AD770" s="376" t="e">
        <f t="shared" ca="1" si="345"/>
        <v>#N/A</v>
      </c>
      <c r="AE770" s="377" t="e">
        <f t="shared" ca="1" si="324"/>
        <v>#N/A</v>
      </c>
      <c r="AF770" s="344"/>
      <c r="AG770" s="359">
        <f t="shared" ca="1" si="346"/>
        <v>3.658856932114082</v>
      </c>
      <c r="AH770" s="357">
        <f t="shared" ca="1" si="347"/>
        <v>-6.059811369281622</v>
      </c>
    </row>
    <row r="771" spans="1:34" x14ac:dyDescent="0.25">
      <c r="A771" s="402">
        <f t="shared" ca="1" si="325"/>
        <v>1E-4</v>
      </c>
      <c r="B771" s="357">
        <f t="shared" ca="1" si="326"/>
        <v>35.605100000000363</v>
      </c>
      <c r="C771" s="342"/>
      <c r="D771" s="359">
        <f t="shared" ca="1" si="327"/>
        <v>-0.82496782857345652</v>
      </c>
      <c r="E771" s="360">
        <f t="shared" ca="1" si="328"/>
        <v>-3.8065649024776302</v>
      </c>
      <c r="F771" s="357">
        <f t="shared" ca="1" si="329"/>
        <v>3.8949336675938055</v>
      </c>
      <c r="G771" s="359">
        <f t="shared" ca="1" si="330"/>
        <v>18.709049410796343</v>
      </c>
      <c r="H771" s="360">
        <f t="shared" ca="1" si="331"/>
        <v>-136.15000400890625</v>
      </c>
      <c r="I771" s="357">
        <f t="shared" ca="1" si="332"/>
        <v>137.42944415765061</v>
      </c>
      <c r="J771" s="359">
        <f t="shared" ca="1" si="333"/>
        <v>1009.0500868209435</v>
      </c>
      <c r="K771" s="360">
        <f t="shared" ca="1" si="334"/>
        <v>-11.65424325668522</v>
      </c>
      <c r="L771" s="357">
        <f t="shared" ca="1" si="319"/>
        <v>1009.1173861842038</v>
      </c>
      <c r="M771" s="359">
        <f t="shared" ca="1" si="335"/>
        <v>-1.4342366124866424</v>
      </c>
      <c r="N771" s="357">
        <f t="shared" ca="1" si="336"/>
        <v>-82.175704718624758</v>
      </c>
      <c r="O771" s="343"/>
      <c r="P771" s="363">
        <f t="shared" ca="1" si="337"/>
        <v>23</v>
      </c>
      <c r="Q771" s="357">
        <f t="shared" ca="1" si="338"/>
        <v>0</v>
      </c>
      <c r="R771" s="359">
        <f t="shared" ca="1" si="339"/>
        <v>0</v>
      </c>
      <c r="S771" s="360">
        <f t="shared" ca="1" si="340"/>
        <v>8.6519999999999992</v>
      </c>
      <c r="T771" s="357">
        <f t="shared" ca="1" si="320"/>
        <v>84.87612</v>
      </c>
      <c r="U771" s="364">
        <f t="shared" ca="1" si="321"/>
        <v>0</v>
      </c>
      <c r="V771" s="359">
        <f t="shared" ca="1" si="322"/>
        <v>1.2264284771899772</v>
      </c>
      <c r="W771" s="357">
        <f t="shared" ca="1" si="323"/>
        <v>52.430189078673287</v>
      </c>
      <c r="X771" s="343"/>
      <c r="Y771" s="367" t="str">
        <f t="shared" ca="1" si="341"/>
        <v/>
      </c>
      <c r="Z771" s="368" t="str">
        <f t="shared" ca="1" si="342"/>
        <v/>
      </c>
      <c r="AA771" s="369" t="str">
        <f t="shared" ca="1" si="343"/>
        <v/>
      </c>
      <c r="AB771" s="344"/>
      <c r="AC771" s="363" t="e">
        <f t="shared" ca="1" si="344"/>
        <v>#N/A</v>
      </c>
      <c r="AD771" s="376" t="e">
        <f t="shared" ca="1" si="345"/>
        <v>#N/A</v>
      </c>
      <c r="AE771" s="377" t="e">
        <f t="shared" ca="1" si="324"/>
        <v>#N/A</v>
      </c>
      <c r="AF771" s="344"/>
      <c r="AG771" s="359">
        <f t="shared" ca="1" si="346"/>
        <v>3.6588177125470542</v>
      </c>
      <c r="AH771" s="357">
        <f t="shared" ca="1" si="347"/>
        <v>-6.0598518866672508</v>
      </c>
    </row>
    <row r="772" spans="1:34" x14ac:dyDescent="0.25">
      <c r="A772" s="402">
        <f t="shared" ca="1" si="325"/>
        <v>1E-4</v>
      </c>
      <c r="B772" s="357">
        <f t="shared" ca="1" si="326"/>
        <v>35.605200000000366</v>
      </c>
      <c r="C772" s="342"/>
      <c r="D772" s="359">
        <f t="shared" ca="1" si="327"/>
        <v>-0.82496751044776118</v>
      </c>
      <c r="E772" s="360">
        <f t="shared" ca="1" si="328"/>
        <v>-3.8065239607596224</v>
      </c>
      <c r="F772" s="357">
        <f t="shared" ca="1" si="329"/>
        <v>3.8948935873951038</v>
      </c>
      <c r="G772" s="359">
        <f t="shared" ca="1" si="330"/>
        <v>18.708966914045298</v>
      </c>
      <c r="H772" s="360">
        <f t="shared" ca="1" si="331"/>
        <v>-136.15038466130233</v>
      </c>
      <c r="I772" s="357">
        <f t="shared" ca="1" si="332"/>
        <v>137.4298100355648</v>
      </c>
      <c r="J772" s="359">
        <f t="shared" ca="1" si="333"/>
        <v>1009.0500868209435</v>
      </c>
      <c r="K772" s="360">
        <f t="shared" ca="1" si="334"/>
        <v>-11.66785827611873</v>
      </c>
      <c r="L772" s="357">
        <f t="shared" ref="L772:L835" ca="1" si="348">SQRT(pos_x^2+pos_z^2)</f>
        <v>1009.1175435151771</v>
      </c>
      <c r="M772" s="359">
        <f t="shared" ca="1" si="335"/>
        <v>-1.4342375842488233</v>
      </c>
      <c r="N772" s="357">
        <f t="shared" ca="1" si="336"/>
        <v>-82.175760396496415</v>
      </c>
      <c r="O772" s="343"/>
      <c r="P772" s="363">
        <f t="shared" ca="1" si="337"/>
        <v>23</v>
      </c>
      <c r="Q772" s="357">
        <f t="shared" ca="1" si="338"/>
        <v>0</v>
      </c>
      <c r="R772" s="359">
        <f t="shared" ca="1" si="339"/>
        <v>0</v>
      </c>
      <c r="S772" s="360">
        <f t="shared" ca="1" si="340"/>
        <v>8.6519999999999992</v>
      </c>
      <c r="T772" s="357">
        <f t="shared" ref="T772:T835" ca="1" si="349">m*g</f>
        <v>84.87612</v>
      </c>
      <c r="U772" s="364">
        <f t="shared" ref="U772:U835" ca="1" si="350">IF(pos_xz&lt;L_rampe,Poids*COS(Beta),0)</f>
        <v>0</v>
      </c>
      <c r="V772" s="359">
        <f t="shared" ref="V772:V835" ca="1" si="351">Rho_moyen*(20000-Alt_rampe-pos_z)/(20000+Alt_rampe+pos_z)</f>
        <v>1.2264301469764365</v>
      </c>
      <c r="W772" s="357">
        <f t="shared" ref="W772:W835" ca="1" si="352">1/2*Rho*Sref*Cx*vit_xz^2</f>
        <v>52.430539632709262</v>
      </c>
      <c r="X772" s="343"/>
      <c r="Y772" s="367" t="str">
        <f t="shared" ca="1" si="341"/>
        <v/>
      </c>
      <c r="Z772" s="368" t="str">
        <f t="shared" ca="1" si="342"/>
        <v/>
      </c>
      <c r="AA772" s="369" t="str">
        <f t="shared" ca="1" si="343"/>
        <v/>
      </c>
      <c r="AB772" s="344"/>
      <c r="AC772" s="363" t="e">
        <f t="shared" ca="1" si="344"/>
        <v>#N/A</v>
      </c>
      <c r="AD772" s="376" t="e">
        <f t="shared" ca="1" si="345"/>
        <v>#N/A</v>
      </c>
      <c r="AE772" s="377" t="e">
        <f t="shared" ref="AE772:AE835" ca="1" si="353">IF(t&lt;T_para, pos_z, NA())</f>
        <v>#N/A</v>
      </c>
      <c r="AF772" s="344"/>
      <c r="AG772" s="359">
        <f t="shared" ca="1" si="346"/>
        <v>3.6587784930960137</v>
      </c>
      <c r="AH772" s="357">
        <f t="shared" ca="1" si="347"/>
        <v>-6.0598924039150823</v>
      </c>
    </row>
    <row r="773" spans="1:34" x14ac:dyDescent="0.25">
      <c r="A773" s="402">
        <f t="shared" ref="A773:A836" ca="1" si="354">IF(B772+0.01&lt;=T_ini+ROUNDUP(Temps_fin_propu,0), 0.01, IF(K772&gt;0, 0.1, 0.0001))</f>
        <v>1E-4</v>
      </c>
      <c r="B773" s="357">
        <f t="shared" ref="B773:B836" ca="1" si="355">B772+pas</f>
        <v>35.605300000000369</v>
      </c>
      <c r="C773" s="342"/>
      <c r="D773" s="359">
        <f t="shared" ref="D773:D836" ca="1" si="356">IF(AND(L772&lt;L_rampe,Poussee&lt;Poids*SIN(M772)),0,(-W772+Poussee)/m*COS(M772)-U772/m*SIN(M772))</f>
        <v>-0.82496719228130244</v>
      </c>
      <c r="E773" s="360">
        <f t="shared" ref="E773:E836" ca="1" si="357">IF(AND(L772&lt;L_rampe,Poussee&lt;Poids*SIN(M772)),0,(-W772+Poussee)/m*SIN(M772)+U772/m*COS(M772)-Poids/m)</f>
        <v>-3.8064830191808863</v>
      </c>
      <c r="F773" s="357">
        <f t="shared" ref="F773:F836" ca="1" si="358">SQRT(acc_x^2+acc_z^2)</f>
        <v>3.8948535073418271</v>
      </c>
      <c r="G773" s="359">
        <f t="shared" ref="G773:G836" ca="1" si="359">G772+acc_x*pas</f>
        <v>18.708884417326072</v>
      </c>
      <c r="H773" s="360">
        <f t="shared" ref="H773:H836" ca="1" si="360">H772+acc_z*pas</f>
        <v>-136.15076530960425</v>
      </c>
      <c r="I773" s="357">
        <f t="shared" ref="I773:I836" ca="1" si="361">SQRT(vit_x^2+vit_z^2)</f>
        <v>137.43017590955708</v>
      </c>
      <c r="J773" s="359">
        <f t="shared" ref="J773:J836" ca="1" si="362">J772+0.5*(vit_x+G772)*pas*(K772&gt;=0)</f>
        <v>1009.0500868209435</v>
      </c>
      <c r="K773" s="360">
        <f t="shared" ref="K773:K836" ca="1" si="363">K772+0.5*(vit_z+H772)*pas</f>
        <v>-11.681473333617276</v>
      </c>
      <c r="L773" s="357">
        <f t="shared" ca="1" si="348"/>
        <v>1009.1177010302603</v>
      </c>
      <c r="M773" s="359">
        <f t="shared" ref="M773:M836" ca="1" si="364">IF(AND(L772&gt;L_rampe,G773&gt;0),ATAN2(G773,H773),$M$4)</f>
        <v>-1.4342385560015452</v>
      </c>
      <c r="N773" s="357">
        <f t="shared" ref="N773:N836" ca="1" si="365">DEGREES(Beta)</f>
        <v>-82.175816073826098</v>
      </c>
      <c r="O773" s="343"/>
      <c r="P773" s="363">
        <f t="shared" ref="P773:P836" ca="1" si="366">MATCH(t-pas/2-T_ini,CdP_t)</f>
        <v>23</v>
      </c>
      <c r="Q773" s="357">
        <f t="shared" ref="Q773:Q836" ca="1" si="367">(INDEX(CdP,2,i_P+1)-INDEX(CdP,2,i_P+0))/(INDEX(CdP,1,i_P+1)-INDEX(CdP,1,i_P+0))*(t-pas/2-T_ini-INDEX(CdP,1,i_P+0))+INDEX(CdP,2,i_P+0)</f>
        <v>0</v>
      </c>
      <c r="R773" s="359">
        <f t="shared" ref="R773:R836" ca="1" si="368">Poussee/(g*ISP)</f>
        <v>0</v>
      </c>
      <c r="S773" s="360">
        <f t="shared" ref="S773:S836" ca="1" si="369">S772-Débit*pas</f>
        <v>8.6519999999999992</v>
      </c>
      <c r="T773" s="357">
        <f t="shared" ca="1" si="349"/>
        <v>84.87612</v>
      </c>
      <c r="U773" s="364">
        <f t="shared" ca="1" si="350"/>
        <v>0</v>
      </c>
      <c r="V773" s="359">
        <f t="shared" ca="1" si="351"/>
        <v>1.2264318167698389</v>
      </c>
      <c r="W773" s="357">
        <f t="shared" ca="1" si="352"/>
        <v>52.430890185552983</v>
      </c>
      <c r="X773" s="343"/>
      <c r="Y773" s="367" t="str">
        <f t="shared" ref="Y773:Y836" ca="1" si="370">IF(AND(pos_z&lt;=0,K772&gt;0),"Impact balistique","") &amp; IF(AND(H774&lt;0,vit_z&gt;=0),"Apogée","") &amp; IF(AND(Poussee=0,Q772&gt;0),"Fin de propulsion","") &amp; IF(AND(L774&gt;L_rampe,pos_xz&lt;=L_rampe),"Sortie de rampe","")</f>
        <v/>
      </c>
      <c r="Z773" s="368" t="str">
        <f t="shared" ref="Z773:Z836" ca="1" si="371">IF(ABS(t-T_para)&lt;pas/2,"Para","")</f>
        <v/>
      </c>
      <c r="AA773" s="369" t="str">
        <f t="shared" ref="AA773:AA836" ca="1" si="372">IF(ABS(t-T_satellite)&lt;pas/2,"Satellite","")</f>
        <v/>
      </c>
      <c r="AB773" s="344"/>
      <c r="AC773" s="363" t="e">
        <f t="shared" ref="AC773:AC836" ca="1" si="373">IF(ABS(t-ROUND(t,0))&lt;0.001,t,NA())</f>
        <v>#N/A</v>
      </c>
      <c r="AD773" s="376" t="e">
        <f t="shared" ref="AD773:AD836" ca="1" si="374">IF(ABS(t-ROUND(t,0))&lt;0.001,pos_x,NA())</f>
        <v>#N/A</v>
      </c>
      <c r="AE773" s="377" t="e">
        <f t="shared" ca="1" si="353"/>
        <v>#N/A</v>
      </c>
      <c r="AF773" s="344"/>
      <c r="AG773" s="359">
        <f t="shared" ref="AG773:AG836" ca="1" si="375">IF(AND(L772&lt;L_rampe,Poussee&lt;Poids*SIN(M772)),0,(-W772+Poussee)/m-Poids*SIN(M772)/m)</f>
        <v>3.658739273760963</v>
      </c>
      <c r="AH773" s="357">
        <f t="shared" ref="AH773:AH836" ca="1" si="376">IF(AND(L772&lt;L_rampe,Poussee&lt;Poids*SIN(M772)), g*SIN(M772), (-W772+Poussee)/m)</f>
        <v>-6.0599329210251121</v>
      </c>
    </row>
    <row r="774" spans="1:34" x14ac:dyDescent="0.25">
      <c r="A774" s="402">
        <f t="shared" ca="1" si="354"/>
        <v>1E-4</v>
      </c>
      <c r="B774" s="357">
        <f t="shared" ca="1" si="355"/>
        <v>35.605400000000373</v>
      </c>
      <c r="C774" s="342"/>
      <c r="D774" s="359">
        <f t="shared" ca="1" si="356"/>
        <v>-0.82496687407408065</v>
      </c>
      <c r="E774" s="360">
        <f t="shared" ca="1" si="357"/>
        <v>-3.8064420777414218</v>
      </c>
      <c r="F774" s="357">
        <f t="shared" ca="1" si="358"/>
        <v>3.8948134274339758</v>
      </c>
      <c r="G774" s="359">
        <f t="shared" ca="1" si="359"/>
        <v>18.708801920638663</v>
      </c>
      <c r="H774" s="360">
        <f t="shared" ca="1" si="360"/>
        <v>-136.15114595381203</v>
      </c>
      <c r="I774" s="357">
        <f t="shared" ca="1" si="361"/>
        <v>137.43054177962742</v>
      </c>
      <c r="J774" s="359">
        <f t="shared" ca="1" si="362"/>
        <v>1009.0500868209435</v>
      </c>
      <c r="K774" s="360">
        <f t="shared" ca="1" si="363"/>
        <v>-11.695088429180448</v>
      </c>
      <c r="L774" s="357">
        <f t="shared" ca="1" si="348"/>
        <v>1009.1178587294548</v>
      </c>
      <c r="M774" s="359">
        <f t="shared" ca="1" si="364"/>
        <v>-1.4342395277448081</v>
      </c>
      <c r="N774" s="357">
        <f t="shared" ca="1" si="365"/>
        <v>-82.175871750613837</v>
      </c>
      <c r="O774" s="343"/>
      <c r="P774" s="363">
        <f t="shared" ca="1" si="366"/>
        <v>23</v>
      </c>
      <c r="Q774" s="357">
        <f t="shared" ca="1" si="367"/>
        <v>0</v>
      </c>
      <c r="R774" s="359">
        <f t="shared" ca="1" si="368"/>
        <v>0</v>
      </c>
      <c r="S774" s="360">
        <f t="shared" ca="1" si="369"/>
        <v>8.6519999999999992</v>
      </c>
      <c r="T774" s="357">
        <f t="shared" ca="1" si="349"/>
        <v>84.87612</v>
      </c>
      <c r="U774" s="364">
        <f t="shared" ca="1" si="350"/>
        <v>0</v>
      </c>
      <c r="V774" s="359">
        <f t="shared" ca="1" si="351"/>
        <v>1.2264334865701847</v>
      </c>
      <c r="W774" s="357">
        <f t="shared" ca="1" si="352"/>
        <v>52.431240737204398</v>
      </c>
      <c r="X774" s="343"/>
      <c r="Y774" s="367" t="str">
        <f t="shared" ca="1" si="370"/>
        <v/>
      </c>
      <c r="Z774" s="368" t="str">
        <f t="shared" ca="1" si="371"/>
        <v/>
      </c>
      <c r="AA774" s="369" t="str">
        <f t="shared" ca="1" si="372"/>
        <v/>
      </c>
      <c r="AB774" s="344"/>
      <c r="AC774" s="363" t="e">
        <f t="shared" ca="1" si="373"/>
        <v>#N/A</v>
      </c>
      <c r="AD774" s="376" t="e">
        <f t="shared" ca="1" si="374"/>
        <v>#N/A</v>
      </c>
      <c r="AE774" s="377" t="e">
        <f t="shared" ca="1" si="353"/>
        <v>#N/A</v>
      </c>
      <c r="AF774" s="344"/>
      <c r="AG774" s="359">
        <f t="shared" ca="1" si="375"/>
        <v>3.6587000545419039</v>
      </c>
      <c r="AH774" s="357">
        <f t="shared" ca="1" si="376"/>
        <v>-6.05997343799734</v>
      </c>
    </row>
    <row r="775" spans="1:34" x14ac:dyDescent="0.25">
      <c r="A775" s="402">
        <f t="shared" ca="1" si="354"/>
        <v>1E-4</v>
      </c>
      <c r="B775" s="357">
        <f t="shared" ca="1" si="355"/>
        <v>35.605500000000376</v>
      </c>
      <c r="C775" s="342"/>
      <c r="D775" s="359">
        <f t="shared" ca="1" si="356"/>
        <v>-0.82496655582609513</v>
      </c>
      <c r="E775" s="360">
        <f t="shared" ca="1" si="357"/>
        <v>-3.8064011364412327</v>
      </c>
      <c r="F775" s="357">
        <f t="shared" ca="1" si="358"/>
        <v>3.8947733476715531</v>
      </c>
      <c r="G775" s="359">
        <f t="shared" ca="1" si="359"/>
        <v>18.70871942398308</v>
      </c>
      <c r="H775" s="360">
        <f t="shared" ca="1" si="360"/>
        <v>-136.15152659392567</v>
      </c>
      <c r="I775" s="357">
        <f t="shared" ca="1" si="361"/>
        <v>137.43090764577585</v>
      </c>
      <c r="J775" s="359">
        <f t="shared" ca="1" si="362"/>
        <v>1009.0500868209435</v>
      </c>
      <c r="K775" s="360">
        <f t="shared" ca="1" si="363"/>
        <v>-11.708703562807834</v>
      </c>
      <c r="L775" s="357">
        <f t="shared" ca="1" si="348"/>
        <v>1009.1180166127624</v>
      </c>
      <c r="M775" s="359">
        <f t="shared" ca="1" si="364"/>
        <v>-1.4342404994786122</v>
      </c>
      <c r="N775" s="357">
        <f t="shared" ca="1" si="365"/>
        <v>-82.17592742685963</v>
      </c>
      <c r="O775" s="343"/>
      <c r="P775" s="363">
        <f t="shared" ca="1" si="366"/>
        <v>23</v>
      </c>
      <c r="Q775" s="357">
        <f t="shared" ca="1" si="367"/>
        <v>0</v>
      </c>
      <c r="R775" s="359">
        <f t="shared" ca="1" si="368"/>
        <v>0</v>
      </c>
      <c r="S775" s="360">
        <f t="shared" ca="1" si="369"/>
        <v>8.6519999999999992</v>
      </c>
      <c r="T775" s="357">
        <f t="shared" ca="1" si="349"/>
        <v>84.87612</v>
      </c>
      <c r="U775" s="364">
        <f t="shared" ca="1" si="350"/>
        <v>0</v>
      </c>
      <c r="V775" s="359">
        <f t="shared" ca="1" si="351"/>
        <v>1.2264351563774734</v>
      </c>
      <c r="W775" s="357">
        <f t="shared" ca="1" si="352"/>
        <v>52.431591287663508</v>
      </c>
      <c r="X775" s="343"/>
      <c r="Y775" s="367" t="str">
        <f t="shared" ca="1" si="370"/>
        <v/>
      </c>
      <c r="Z775" s="368" t="str">
        <f t="shared" ca="1" si="371"/>
        <v/>
      </c>
      <c r="AA775" s="369" t="str">
        <f t="shared" ca="1" si="372"/>
        <v/>
      </c>
      <c r="AB775" s="344"/>
      <c r="AC775" s="363" t="e">
        <f t="shared" ca="1" si="373"/>
        <v>#N/A</v>
      </c>
      <c r="AD775" s="376" t="e">
        <f t="shared" ca="1" si="374"/>
        <v>#N/A</v>
      </c>
      <c r="AE775" s="377" t="e">
        <f t="shared" ca="1" si="353"/>
        <v>#N/A</v>
      </c>
      <c r="AF775" s="344"/>
      <c r="AG775" s="359">
        <f t="shared" ca="1" si="375"/>
        <v>3.6586608354388446</v>
      </c>
      <c r="AH775" s="357">
        <f t="shared" ca="1" si="376"/>
        <v>-6.0600139548317618</v>
      </c>
    </row>
    <row r="776" spans="1:34" x14ac:dyDescent="0.25">
      <c r="A776" s="402">
        <f t="shared" ca="1" si="354"/>
        <v>1E-4</v>
      </c>
      <c r="B776" s="357">
        <f t="shared" ca="1" si="355"/>
        <v>35.605600000000379</v>
      </c>
      <c r="C776" s="342"/>
      <c r="D776" s="359">
        <f t="shared" ca="1" si="356"/>
        <v>-0.82496623753734777</v>
      </c>
      <c r="E776" s="360">
        <f t="shared" ca="1" si="357"/>
        <v>-3.8063601952803214</v>
      </c>
      <c r="F776" s="357">
        <f t="shared" ca="1" si="358"/>
        <v>3.894733268054563</v>
      </c>
      <c r="G776" s="359">
        <f t="shared" ca="1" si="359"/>
        <v>18.708636927359326</v>
      </c>
      <c r="H776" s="360">
        <f t="shared" ca="1" si="360"/>
        <v>-136.15190722994518</v>
      </c>
      <c r="I776" s="357">
        <f t="shared" ca="1" si="361"/>
        <v>137.43127350800236</v>
      </c>
      <c r="J776" s="359">
        <f t="shared" ca="1" si="362"/>
        <v>1009.0500868209435</v>
      </c>
      <c r="K776" s="360">
        <f t="shared" ca="1" si="363"/>
        <v>-11.722318734499028</v>
      </c>
      <c r="L776" s="357">
        <f t="shared" ca="1" si="348"/>
        <v>1009.1181746801843</v>
      </c>
      <c r="M776" s="359">
        <f t="shared" ca="1" si="364"/>
        <v>-1.4342414712029576</v>
      </c>
      <c r="N776" s="357">
        <f t="shared" ca="1" si="365"/>
        <v>-82.175983102563464</v>
      </c>
      <c r="O776" s="343"/>
      <c r="P776" s="363">
        <f t="shared" ca="1" si="366"/>
        <v>23</v>
      </c>
      <c r="Q776" s="357">
        <f t="shared" ca="1" si="367"/>
        <v>0</v>
      </c>
      <c r="R776" s="359">
        <f t="shared" ca="1" si="368"/>
        <v>0</v>
      </c>
      <c r="S776" s="360">
        <f t="shared" ca="1" si="369"/>
        <v>8.6519999999999992</v>
      </c>
      <c r="T776" s="357">
        <f t="shared" ca="1" si="349"/>
        <v>84.87612</v>
      </c>
      <c r="U776" s="364">
        <f t="shared" ca="1" si="350"/>
        <v>0</v>
      </c>
      <c r="V776" s="359">
        <f t="shared" ca="1" si="351"/>
        <v>1.2264368261917056</v>
      </c>
      <c r="W776" s="357">
        <f t="shared" ca="1" si="352"/>
        <v>52.431941836930285</v>
      </c>
      <c r="X776" s="343"/>
      <c r="Y776" s="367" t="str">
        <f t="shared" ca="1" si="370"/>
        <v/>
      </c>
      <c r="Z776" s="368" t="str">
        <f t="shared" ca="1" si="371"/>
        <v/>
      </c>
      <c r="AA776" s="369" t="str">
        <f t="shared" ca="1" si="372"/>
        <v/>
      </c>
      <c r="AB776" s="344"/>
      <c r="AC776" s="363" t="e">
        <f t="shared" ca="1" si="373"/>
        <v>#N/A</v>
      </c>
      <c r="AD776" s="376" t="e">
        <f t="shared" ca="1" si="374"/>
        <v>#N/A</v>
      </c>
      <c r="AE776" s="377" t="e">
        <f t="shared" ca="1" si="353"/>
        <v>#N/A</v>
      </c>
      <c r="AF776" s="344"/>
      <c r="AG776" s="359">
        <f t="shared" ca="1" si="375"/>
        <v>3.6586216164517804</v>
      </c>
      <c r="AH776" s="357">
        <f t="shared" ca="1" si="376"/>
        <v>-6.0600544715283764</v>
      </c>
    </row>
    <row r="777" spans="1:34" x14ac:dyDescent="0.25">
      <c r="A777" s="402">
        <f t="shared" ca="1" si="354"/>
        <v>1E-4</v>
      </c>
      <c r="B777" s="357">
        <f t="shared" ca="1" si="355"/>
        <v>35.605700000000382</v>
      </c>
      <c r="C777" s="342"/>
      <c r="D777" s="359">
        <f t="shared" ca="1" si="356"/>
        <v>-0.82496591920783802</v>
      </c>
      <c r="E777" s="360">
        <f t="shared" ca="1" si="357"/>
        <v>-3.8063192542586899</v>
      </c>
      <c r="F777" s="357">
        <f t="shared" ca="1" si="358"/>
        <v>3.8946931885830058</v>
      </c>
      <c r="G777" s="359">
        <f t="shared" ca="1" si="359"/>
        <v>18.708554430767403</v>
      </c>
      <c r="H777" s="360">
        <f t="shared" ca="1" si="360"/>
        <v>-136.1522878618706</v>
      </c>
      <c r="I777" s="357">
        <f t="shared" ca="1" si="361"/>
        <v>137.431639366307</v>
      </c>
      <c r="J777" s="359">
        <f t="shared" ca="1" si="362"/>
        <v>1009.0500868209435</v>
      </c>
      <c r="K777" s="360">
        <f t="shared" ca="1" si="363"/>
        <v>-11.735933944253619</v>
      </c>
      <c r="L777" s="357">
        <f t="shared" ca="1" si="348"/>
        <v>1009.118332931722</v>
      </c>
      <c r="M777" s="359">
        <f t="shared" ca="1" si="364"/>
        <v>-1.4342424429178444</v>
      </c>
      <c r="N777" s="357">
        <f t="shared" ca="1" si="365"/>
        <v>-82.176038777725367</v>
      </c>
      <c r="O777" s="343"/>
      <c r="P777" s="363">
        <f t="shared" ca="1" si="366"/>
        <v>23</v>
      </c>
      <c r="Q777" s="357">
        <f t="shared" ca="1" si="367"/>
        <v>0</v>
      </c>
      <c r="R777" s="359">
        <f t="shared" ca="1" si="368"/>
        <v>0</v>
      </c>
      <c r="S777" s="360">
        <f t="shared" ca="1" si="369"/>
        <v>8.6519999999999992</v>
      </c>
      <c r="T777" s="357">
        <f t="shared" ca="1" si="349"/>
        <v>84.87612</v>
      </c>
      <c r="U777" s="364">
        <f t="shared" ca="1" si="350"/>
        <v>0</v>
      </c>
      <c r="V777" s="359">
        <f t="shared" ca="1" si="351"/>
        <v>1.2264384960128802</v>
      </c>
      <c r="W777" s="357">
        <f t="shared" ca="1" si="352"/>
        <v>52.4322923850047</v>
      </c>
      <c r="X777" s="343"/>
      <c r="Y777" s="367" t="str">
        <f t="shared" ca="1" si="370"/>
        <v/>
      </c>
      <c r="Z777" s="368" t="str">
        <f t="shared" ca="1" si="371"/>
        <v/>
      </c>
      <c r="AA777" s="369" t="str">
        <f t="shared" ca="1" si="372"/>
        <v/>
      </c>
      <c r="AB777" s="344"/>
      <c r="AC777" s="363" t="e">
        <f t="shared" ca="1" si="373"/>
        <v>#N/A</v>
      </c>
      <c r="AD777" s="376" t="e">
        <f t="shared" ca="1" si="374"/>
        <v>#N/A</v>
      </c>
      <c r="AE777" s="377" t="e">
        <f t="shared" ca="1" si="353"/>
        <v>#N/A</v>
      </c>
      <c r="AF777" s="344"/>
      <c r="AG777" s="359">
        <f t="shared" ca="1" si="375"/>
        <v>3.6585823975807177</v>
      </c>
      <c r="AH777" s="357">
        <f t="shared" ca="1" si="376"/>
        <v>-6.0600949880871813</v>
      </c>
    </row>
    <row r="778" spans="1:34" x14ac:dyDescent="0.25">
      <c r="A778" s="402">
        <f t="shared" ca="1" si="354"/>
        <v>1E-4</v>
      </c>
      <c r="B778" s="357">
        <f t="shared" ca="1" si="355"/>
        <v>35.605800000000386</v>
      </c>
      <c r="C778" s="342"/>
      <c r="D778" s="359">
        <f t="shared" ca="1" si="356"/>
        <v>-0.82496560083756709</v>
      </c>
      <c r="E778" s="360">
        <f t="shared" ca="1" si="357"/>
        <v>-3.8062783133763416</v>
      </c>
      <c r="F778" s="357">
        <f t="shared" ca="1" si="358"/>
        <v>3.894653109256887</v>
      </c>
      <c r="G778" s="359">
        <f t="shared" ca="1" si="359"/>
        <v>18.708471934207321</v>
      </c>
      <c r="H778" s="360">
        <f t="shared" ca="1" si="360"/>
        <v>-136.15266848970194</v>
      </c>
      <c r="I778" s="357">
        <f t="shared" ca="1" si="361"/>
        <v>137.43200522068975</v>
      </c>
      <c r="J778" s="359">
        <f t="shared" ca="1" si="362"/>
        <v>1009.0500868209435</v>
      </c>
      <c r="K778" s="360">
        <f t="shared" ca="1" si="363"/>
        <v>-11.749549192071198</v>
      </c>
      <c r="L778" s="357">
        <f t="shared" ca="1" si="348"/>
        <v>1009.1184913673768</v>
      </c>
      <c r="M778" s="359">
        <f t="shared" ca="1" si="364"/>
        <v>-1.434243414623273</v>
      </c>
      <c r="N778" s="357">
        <f t="shared" ca="1" si="365"/>
        <v>-82.176094452345353</v>
      </c>
      <c r="O778" s="343"/>
      <c r="P778" s="363">
        <f t="shared" ca="1" si="366"/>
        <v>23</v>
      </c>
      <c r="Q778" s="357">
        <f t="shared" ca="1" si="367"/>
        <v>0</v>
      </c>
      <c r="R778" s="359">
        <f t="shared" ca="1" si="368"/>
        <v>0</v>
      </c>
      <c r="S778" s="360">
        <f t="shared" ca="1" si="369"/>
        <v>8.6519999999999992</v>
      </c>
      <c r="T778" s="357">
        <f t="shared" ca="1" si="349"/>
        <v>84.87612</v>
      </c>
      <c r="U778" s="364">
        <f t="shared" ca="1" si="350"/>
        <v>0</v>
      </c>
      <c r="V778" s="359">
        <f t="shared" ca="1" si="351"/>
        <v>1.2264401658409985</v>
      </c>
      <c r="W778" s="357">
        <f t="shared" ca="1" si="352"/>
        <v>52.432642931886754</v>
      </c>
      <c r="X778" s="343"/>
      <c r="Y778" s="367" t="str">
        <f t="shared" ca="1" si="370"/>
        <v/>
      </c>
      <c r="Z778" s="368" t="str">
        <f t="shared" ca="1" si="371"/>
        <v/>
      </c>
      <c r="AA778" s="369" t="str">
        <f t="shared" ca="1" si="372"/>
        <v/>
      </c>
      <c r="AB778" s="344"/>
      <c r="AC778" s="363" t="e">
        <f t="shared" ca="1" si="373"/>
        <v>#N/A</v>
      </c>
      <c r="AD778" s="376" t="e">
        <f t="shared" ca="1" si="374"/>
        <v>#N/A</v>
      </c>
      <c r="AE778" s="377" t="e">
        <f t="shared" ca="1" si="353"/>
        <v>#N/A</v>
      </c>
      <c r="AF778" s="344"/>
      <c r="AG778" s="359">
        <f t="shared" ca="1" si="375"/>
        <v>3.6585431788256626</v>
      </c>
      <c r="AH778" s="357">
        <f t="shared" ca="1" si="376"/>
        <v>-6.060135504508172</v>
      </c>
    </row>
    <row r="779" spans="1:34" x14ac:dyDescent="0.25">
      <c r="A779" s="402">
        <f t="shared" ca="1" si="354"/>
        <v>1E-4</v>
      </c>
      <c r="B779" s="357">
        <f t="shared" ca="1" si="355"/>
        <v>35.605900000000389</v>
      </c>
      <c r="C779" s="342"/>
      <c r="D779" s="359">
        <f t="shared" ca="1" si="356"/>
        <v>-0.82496528242653389</v>
      </c>
      <c r="E779" s="360">
        <f t="shared" ca="1" si="357"/>
        <v>-3.8062373726332757</v>
      </c>
      <c r="F779" s="357">
        <f t="shared" ca="1" si="358"/>
        <v>3.8946130300762039</v>
      </c>
      <c r="G779" s="359">
        <f t="shared" ca="1" si="359"/>
        <v>18.708389437679077</v>
      </c>
      <c r="H779" s="360">
        <f t="shared" ca="1" si="360"/>
        <v>-136.15304911343921</v>
      </c>
      <c r="I779" s="357">
        <f t="shared" ca="1" si="361"/>
        <v>137.43237107115067</v>
      </c>
      <c r="J779" s="359">
        <f t="shared" ca="1" si="362"/>
        <v>1009.0500868209435</v>
      </c>
      <c r="K779" s="360">
        <f t="shared" ca="1" si="363"/>
        <v>-11.763164477951355</v>
      </c>
      <c r="L779" s="357">
        <f t="shared" ca="1" si="348"/>
        <v>1009.1186499871504</v>
      </c>
      <c r="M779" s="359">
        <f t="shared" ca="1" si="364"/>
        <v>-1.4342443863192433</v>
      </c>
      <c r="N779" s="357">
        <f t="shared" ca="1" si="365"/>
        <v>-82.176150126423437</v>
      </c>
      <c r="O779" s="343"/>
      <c r="P779" s="363">
        <f t="shared" ca="1" si="366"/>
        <v>23</v>
      </c>
      <c r="Q779" s="357">
        <f t="shared" ca="1" si="367"/>
        <v>0</v>
      </c>
      <c r="R779" s="359">
        <f t="shared" ca="1" si="368"/>
        <v>0</v>
      </c>
      <c r="S779" s="360">
        <f t="shared" ca="1" si="369"/>
        <v>8.6519999999999992</v>
      </c>
      <c r="T779" s="357">
        <f t="shared" ca="1" si="349"/>
        <v>84.87612</v>
      </c>
      <c r="U779" s="364">
        <f t="shared" ca="1" si="350"/>
        <v>0</v>
      </c>
      <c r="V779" s="359">
        <f t="shared" ca="1" si="351"/>
        <v>1.2264418356760594</v>
      </c>
      <c r="W779" s="357">
        <f t="shared" ca="1" si="352"/>
        <v>52.432993477576431</v>
      </c>
      <c r="X779" s="343"/>
      <c r="Y779" s="367" t="str">
        <f t="shared" ca="1" si="370"/>
        <v/>
      </c>
      <c r="Z779" s="368" t="str">
        <f t="shared" ca="1" si="371"/>
        <v/>
      </c>
      <c r="AA779" s="369" t="str">
        <f t="shared" ca="1" si="372"/>
        <v/>
      </c>
      <c r="AB779" s="344"/>
      <c r="AC779" s="363" t="e">
        <f t="shared" ca="1" si="373"/>
        <v>#N/A</v>
      </c>
      <c r="AD779" s="376" t="e">
        <f t="shared" ca="1" si="374"/>
        <v>#N/A</v>
      </c>
      <c r="AE779" s="377" t="e">
        <f t="shared" ca="1" si="353"/>
        <v>#N/A</v>
      </c>
      <c r="AF779" s="344"/>
      <c r="AG779" s="359">
        <f t="shared" ca="1" si="375"/>
        <v>3.6585039601866116</v>
      </c>
      <c r="AH779" s="357">
        <f t="shared" ca="1" si="376"/>
        <v>-6.0601760207913502</v>
      </c>
    </row>
    <row r="780" spans="1:34" x14ac:dyDescent="0.25">
      <c r="A780" s="402">
        <f t="shared" ca="1" si="354"/>
        <v>1E-4</v>
      </c>
      <c r="B780" s="357">
        <f t="shared" ca="1" si="355"/>
        <v>35.606000000000392</v>
      </c>
      <c r="C780" s="342"/>
      <c r="D780" s="359">
        <f t="shared" ca="1" si="356"/>
        <v>-0.82496496397473951</v>
      </c>
      <c r="E780" s="360">
        <f t="shared" ca="1" si="357"/>
        <v>-3.8061964320294965</v>
      </c>
      <c r="F780" s="357">
        <f t="shared" ca="1" si="358"/>
        <v>3.894572951040963</v>
      </c>
      <c r="G780" s="359">
        <f t="shared" ca="1" si="359"/>
        <v>18.708306941182681</v>
      </c>
      <c r="H780" s="360">
        <f t="shared" ca="1" si="360"/>
        <v>-136.15342973308242</v>
      </c>
      <c r="I780" s="357">
        <f t="shared" ca="1" si="361"/>
        <v>137.43273691768971</v>
      </c>
      <c r="J780" s="359">
        <f t="shared" ca="1" si="362"/>
        <v>1009.0500868209435</v>
      </c>
      <c r="K780" s="360">
        <f t="shared" ca="1" si="363"/>
        <v>-11.776779801893682</v>
      </c>
      <c r="L780" s="357">
        <f t="shared" ca="1" si="348"/>
        <v>1009.1188087910442</v>
      </c>
      <c r="M780" s="359">
        <f t="shared" ca="1" si="364"/>
        <v>-1.4342453580057555</v>
      </c>
      <c r="N780" s="357">
        <f t="shared" ca="1" si="365"/>
        <v>-82.17620579995959</v>
      </c>
      <c r="O780" s="343"/>
      <c r="P780" s="363">
        <f t="shared" ca="1" si="366"/>
        <v>23</v>
      </c>
      <c r="Q780" s="357">
        <f t="shared" ca="1" si="367"/>
        <v>0</v>
      </c>
      <c r="R780" s="359">
        <f t="shared" ca="1" si="368"/>
        <v>0</v>
      </c>
      <c r="S780" s="360">
        <f t="shared" ca="1" si="369"/>
        <v>8.6519999999999992</v>
      </c>
      <c r="T780" s="357">
        <f t="shared" ca="1" si="349"/>
        <v>84.87612</v>
      </c>
      <c r="U780" s="364">
        <f t="shared" ca="1" si="350"/>
        <v>0</v>
      </c>
      <c r="V780" s="359">
        <f t="shared" ca="1" si="351"/>
        <v>1.2264435055180636</v>
      </c>
      <c r="W780" s="357">
        <f t="shared" ca="1" si="352"/>
        <v>52.433344022073683</v>
      </c>
      <c r="X780" s="343"/>
      <c r="Y780" s="367" t="str">
        <f t="shared" ca="1" si="370"/>
        <v/>
      </c>
      <c r="Z780" s="368" t="str">
        <f t="shared" ca="1" si="371"/>
        <v/>
      </c>
      <c r="AA780" s="369" t="str">
        <f t="shared" ca="1" si="372"/>
        <v/>
      </c>
      <c r="AB780" s="344"/>
      <c r="AC780" s="363" t="e">
        <f t="shared" ca="1" si="373"/>
        <v>#N/A</v>
      </c>
      <c r="AD780" s="376" t="e">
        <f t="shared" ca="1" si="374"/>
        <v>#N/A</v>
      </c>
      <c r="AE780" s="377" t="e">
        <f t="shared" ca="1" si="353"/>
        <v>#N/A</v>
      </c>
      <c r="AF780" s="344"/>
      <c r="AG780" s="359">
        <f t="shared" ca="1" si="375"/>
        <v>3.6584647416635683</v>
      </c>
      <c r="AH780" s="357">
        <f t="shared" ca="1" si="376"/>
        <v>-6.0602165369367125</v>
      </c>
    </row>
    <row r="781" spans="1:34" x14ac:dyDescent="0.25">
      <c r="A781" s="402">
        <f t="shared" ca="1" si="354"/>
        <v>1E-4</v>
      </c>
      <c r="B781" s="357">
        <f t="shared" ca="1" si="355"/>
        <v>35.606100000000396</v>
      </c>
      <c r="C781" s="342"/>
      <c r="D781" s="359">
        <f t="shared" ca="1" si="356"/>
        <v>-0.82496464548218507</v>
      </c>
      <c r="E781" s="360">
        <f t="shared" ca="1" si="357"/>
        <v>-3.8061554915650069</v>
      </c>
      <c r="F781" s="357">
        <f t="shared" ca="1" si="358"/>
        <v>3.8945328721511654</v>
      </c>
      <c r="G781" s="359">
        <f t="shared" ca="1" si="359"/>
        <v>18.708224444718134</v>
      </c>
      <c r="H781" s="360">
        <f t="shared" ca="1" si="360"/>
        <v>-136.15381034863157</v>
      </c>
      <c r="I781" s="357">
        <f t="shared" ca="1" si="361"/>
        <v>137.43310276030692</v>
      </c>
      <c r="J781" s="359">
        <f t="shared" ca="1" si="362"/>
        <v>1009.0500868209435</v>
      </c>
      <c r="K781" s="360">
        <f t="shared" ca="1" si="363"/>
        <v>-11.790395163897767</v>
      </c>
      <c r="L781" s="357">
        <f t="shared" ca="1" si="348"/>
        <v>1009.1189677790595</v>
      </c>
      <c r="M781" s="359">
        <f t="shared" ca="1" si="364"/>
        <v>-1.4342463296828096</v>
      </c>
      <c r="N781" s="357">
        <f t="shared" ca="1" si="365"/>
        <v>-82.17626147295384</v>
      </c>
      <c r="O781" s="343"/>
      <c r="P781" s="363">
        <f t="shared" ca="1" si="366"/>
        <v>23</v>
      </c>
      <c r="Q781" s="357">
        <f t="shared" ca="1" si="367"/>
        <v>0</v>
      </c>
      <c r="R781" s="359">
        <f t="shared" ca="1" si="368"/>
        <v>0</v>
      </c>
      <c r="S781" s="360">
        <f t="shared" ca="1" si="369"/>
        <v>8.6519999999999992</v>
      </c>
      <c r="T781" s="357">
        <f t="shared" ca="1" si="349"/>
        <v>84.87612</v>
      </c>
      <c r="U781" s="364">
        <f t="shared" ca="1" si="350"/>
        <v>0</v>
      </c>
      <c r="V781" s="359">
        <f t="shared" ca="1" si="351"/>
        <v>1.2264451753670105</v>
      </c>
      <c r="W781" s="357">
        <f t="shared" ca="1" si="352"/>
        <v>52.433694565378516</v>
      </c>
      <c r="X781" s="343"/>
      <c r="Y781" s="367" t="str">
        <f t="shared" ca="1" si="370"/>
        <v/>
      </c>
      <c r="Z781" s="368" t="str">
        <f t="shared" ca="1" si="371"/>
        <v/>
      </c>
      <c r="AA781" s="369" t="str">
        <f t="shared" ca="1" si="372"/>
        <v/>
      </c>
      <c r="AB781" s="344"/>
      <c r="AC781" s="363" t="e">
        <f t="shared" ca="1" si="373"/>
        <v>#N/A</v>
      </c>
      <c r="AD781" s="376" t="e">
        <f t="shared" ca="1" si="374"/>
        <v>#N/A</v>
      </c>
      <c r="AE781" s="377" t="e">
        <f t="shared" ca="1" si="353"/>
        <v>#N/A</v>
      </c>
      <c r="AF781" s="344"/>
      <c r="AG781" s="359">
        <f t="shared" ca="1" si="375"/>
        <v>3.6584255232565388</v>
      </c>
      <c r="AH781" s="357">
        <f t="shared" ca="1" si="376"/>
        <v>-6.0602570529442543</v>
      </c>
    </row>
    <row r="782" spans="1:34" x14ac:dyDescent="0.25">
      <c r="A782" s="402">
        <f t="shared" ca="1" si="354"/>
        <v>1E-4</v>
      </c>
      <c r="B782" s="357">
        <f t="shared" ca="1" si="355"/>
        <v>35.606200000000399</v>
      </c>
      <c r="C782" s="342"/>
      <c r="D782" s="359">
        <f t="shared" ca="1" si="356"/>
        <v>-0.82496432694887067</v>
      </c>
      <c r="E782" s="360">
        <f t="shared" ca="1" si="357"/>
        <v>-3.8061145512398076</v>
      </c>
      <c r="F782" s="357">
        <f t="shared" ca="1" si="358"/>
        <v>3.8944927934068136</v>
      </c>
      <c r="G782" s="359">
        <f t="shared" ca="1" si="359"/>
        <v>18.708141948285437</v>
      </c>
      <c r="H782" s="360">
        <f t="shared" ca="1" si="360"/>
        <v>-136.15419096008668</v>
      </c>
      <c r="I782" s="357">
        <f t="shared" ca="1" si="361"/>
        <v>137.43346859900228</v>
      </c>
      <c r="J782" s="359">
        <f t="shared" ca="1" si="362"/>
        <v>1009.0500868209435</v>
      </c>
      <c r="K782" s="360">
        <f t="shared" ca="1" si="363"/>
        <v>-11.804010563963203</v>
      </c>
      <c r="L782" s="357">
        <f t="shared" ca="1" si="348"/>
        <v>1009.1191269511979</v>
      </c>
      <c r="M782" s="359">
        <f t="shared" ca="1" si="364"/>
        <v>-1.4342473013504062</v>
      </c>
      <c r="N782" s="357">
        <f t="shared" ca="1" si="365"/>
        <v>-82.176317145406216</v>
      </c>
      <c r="O782" s="343"/>
      <c r="P782" s="363">
        <f t="shared" ca="1" si="366"/>
        <v>23</v>
      </c>
      <c r="Q782" s="357">
        <f t="shared" ca="1" si="367"/>
        <v>0</v>
      </c>
      <c r="R782" s="359">
        <f t="shared" ca="1" si="368"/>
        <v>0</v>
      </c>
      <c r="S782" s="360">
        <f t="shared" ca="1" si="369"/>
        <v>8.6519999999999992</v>
      </c>
      <c r="T782" s="357">
        <f t="shared" ca="1" si="349"/>
        <v>84.87612</v>
      </c>
      <c r="U782" s="364">
        <f t="shared" ca="1" si="350"/>
        <v>0</v>
      </c>
      <c r="V782" s="359">
        <f t="shared" ca="1" si="351"/>
        <v>1.2264468452229003</v>
      </c>
      <c r="W782" s="357">
        <f t="shared" ca="1" si="352"/>
        <v>52.434045107490867</v>
      </c>
      <c r="X782" s="343"/>
      <c r="Y782" s="367" t="str">
        <f t="shared" ca="1" si="370"/>
        <v/>
      </c>
      <c r="Z782" s="368" t="str">
        <f t="shared" ca="1" si="371"/>
        <v/>
      </c>
      <c r="AA782" s="369" t="str">
        <f t="shared" ca="1" si="372"/>
        <v/>
      </c>
      <c r="AB782" s="344"/>
      <c r="AC782" s="363" t="e">
        <f t="shared" ca="1" si="373"/>
        <v>#N/A</v>
      </c>
      <c r="AD782" s="376" t="e">
        <f t="shared" ca="1" si="374"/>
        <v>#N/A</v>
      </c>
      <c r="AE782" s="377" t="e">
        <f t="shared" ca="1" si="353"/>
        <v>#N/A</v>
      </c>
      <c r="AF782" s="344"/>
      <c r="AG782" s="359">
        <f t="shared" ca="1" si="375"/>
        <v>3.658386304965525</v>
      </c>
      <c r="AH782" s="357">
        <f t="shared" ca="1" si="376"/>
        <v>-6.0602975688139757</v>
      </c>
    </row>
    <row r="783" spans="1:34" x14ac:dyDescent="0.25">
      <c r="A783" s="402">
        <f t="shared" ca="1" si="354"/>
        <v>1E-4</v>
      </c>
      <c r="B783" s="357">
        <f t="shared" ca="1" si="355"/>
        <v>35.606300000000402</v>
      </c>
      <c r="C783" s="342"/>
      <c r="D783" s="359">
        <f t="shared" ca="1" si="356"/>
        <v>-0.82496400837479433</v>
      </c>
      <c r="E783" s="360">
        <f t="shared" ca="1" si="357"/>
        <v>-3.8060736110539048</v>
      </c>
      <c r="F783" s="357">
        <f t="shared" ca="1" si="358"/>
        <v>3.8944527148079127</v>
      </c>
      <c r="G783" s="359">
        <f t="shared" ca="1" si="359"/>
        <v>18.708059451884601</v>
      </c>
      <c r="H783" s="360">
        <f t="shared" ca="1" si="360"/>
        <v>-136.15457156744779</v>
      </c>
      <c r="I783" s="357">
        <f t="shared" ca="1" si="361"/>
        <v>137.43383443377584</v>
      </c>
      <c r="J783" s="359">
        <f t="shared" ca="1" si="362"/>
        <v>1009.0500868209435</v>
      </c>
      <c r="K783" s="360">
        <f t="shared" ca="1" si="363"/>
        <v>-11.817626002089581</v>
      </c>
      <c r="L783" s="357">
        <f t="shared" ca="1" si="348"/>
        <v>1009.1192863074608</v>
      </c>
      <c r="M783" s="359">
        <f t="shared" ca="1" si="364"/>
        <v>-1.4342482730085448</v>
      </c>
      <c r="N783" s="357">
        <f t="shared" ca="1" si="365"/>
        <v>-82.17637281731669</v>
      </c>
      <c r="O783" s="343"/>
      <c r="P783" s="363">
        <f t="shared" ca="1" si="366"/>
        <v>23</v>
      </c>
      <c r="Q783" s="357">
        <f t="shared" ca="1" si="367"/>
        <v>0</v>
      </c>
      <c r="R783" s="359">
        <f t="shared" ca="1" si="368"/>
        <v>0</v>
      </c>
      <c r="S783" s="360">
        <f t="shared" ca="1" si="369"/>
        <v>8.6519999999999992</v>
      </c>
      <c r="T783" s="357">
        <f t="shared" ca="1" si="349"/>
        <v>84.87612</v>
      </c>
      <c r="U783" s="364">
        <f t="shared" ca="1" si="350"/>
        <v>0</v>
      </c>
      <c r="V783" s="359">
        <f t="shared" ca="1" si="351"/>
        <v>1.2264485150857329</v>
      </c>
      <c r="W783" s="357">
        <f t="shared" ca="1" si="352"/>
        <v>52.434395648410757</v>
      </c>
      <c r="X783" s="343"/>
      <c r="Y783" s="367" t="str">
        <f t="shared" ca="1" si="370"/>
        <v/>
      </c>
      <c r="Z783" s="368" t="str">
        <f t="shared" ca="1" si="371"/>
        <v/>
      </c>
      <c r="AA783" s="369" t="str">
        <f t="shared" ca="1" si="372"/>
        <v/>
      </c>
      <c r="AB783" s="344"/>
      <c r="AC783" s="363" t="e">
        <f t="shared" ca="1" si="373"/>
        <v>#N/A</v>
      </c>
      <c r="AD783" s="376" t="e">
        <f t="shared" ca="1" si="374"/>
        <v>#N/A</v>
      </c>
      <c r="AE783" s="377" t="e">
        <f t="shared" ca="1" si="353"/>
        <v>#N/A</v>
      </c>
      <c r="AF783" s="344"/>
      <c r="AG783" s="359">
        <f t="shared" ca="1" si="375"/>
        <v>3.6583470867905312</v>
      </c>
      <c r="AH783" s="357">
        <f t="shared" ca="1" si="376"/>
        <v>-6.0603380845458705</v>
      </c>
    </row>
    <row r="784" spans="1:34" x14ac:dyDescent="0.25">
      <c r="A784" s="402">
        <f t="shared" ca="1" si="354"/>
        <v>1E-4</v>
      </c>
      <c r="B784" s="357">
        <f t="shared" ca="1" si="355"/>
        <v>35.606400000000406</v>
      </c>
      <c r="C784" s="342"/>
      <c r="D784" s="359">
        <f t="shared" ca="1" si="356"/>
        <v>-0.82496368975996048</v>
      </c>
      <c r="E784" s="360">
        <f t="shared" ca="1" si="357"/>
        <v>-3.8060326710072969</v>
      </c>
      <c r="F784" s="357">
        <f t="shared" ca="1" si="358"/>
        <v>3.8944126363544616</v>
      </c>
      <c r="G784" s="359">
        <f t="shared" ca="1" si="359"/>
        <v>18.707976955515626</v>
      </c>
      <c r="H784" s="360">
        <f t="shared" ca="1" si="360"/>
        <v>-136.15495217071489</v>
      </c>
      <c r="I784" s="357">
        <f t="shared" ca="1" si="361"/>
        <v>137.43420026462761</v>
      </c>
      <c r="J784" s="359">
        <f t="shared" ca="1" si="362"/>
        <v>1009.0500868209435</v>
      </c>
      <c r="K784" s="360">
        <f t="shared" ca="1" si="363"/>
        <v>-11.831241478276489</v>
      </c>
      <c r="L784" s="357">
        <f t="shared" ca="1" si="348"/>
        <v>1009.1194458478495</v>
      </c>
      <c r="M784" s="359">
        <f t="shared" ca="1" si="364"/>
        <v>-1.4342492446572261</v>
      </c>
      <c r="N784" s="357">
        <f t="shared" ca="1" si="365"/>
        <v>-82.176428488685289</v>
      </c>
      <c r="O784" s="343"/>
      <c r="P784" s="363">
        <f t="shared" ca="1" si="366"/>
        <v>23</v>
      </c>
      <c r="Q784" s="357">
        <f t="shared" ca="1" si="367"/>
        <v>0</v>
      </c>
      <c r="R784" s="359">
        <f t="shared" ca="1" si="368"/>
        <v>0</v>
      </c>
      <c r="S784" s="360">
        <f t="shared" ca="1" si="369"/>
        <v>8.6519999999999992</v>
      </c>
      <c r="T784" s="357">
        <f t="shared" ca="1" si="349"/>
        <v>84.87612</v>
      </c>
      <c r="U784" s="364">
        <f t="shared" ca="1" si="350"/>
        <v>0</v>
      </c>
      <c r="V784" s="359">
        <f t="shared" ca="1" si="351"/>
        <v>1.2264501849555089</v>
      </c>
      <c r="W784" s="357">
        <f t="shared" ca="1" si="352"/>
        <v>52.434746188138163</v>
      </c>
      <c r="X784" s="343"/>
      <c r="Y784" s="367" t="str">
        <f t="shared" ca="1" si="370"/>
        <v/>
      </c>
      <c r="Z784" s="368" t="str">
        <f t="shared" ca="1" si="371"/>
        <v/>
      </c>
      <c r="AA784" s="369" t="str">
        <f t="shared" ca="1" si="372"/>
        <v/>
      </c>
      <c r="AB784" s="344"/>
      <c r="AC784" s="363" t="e">
        <f t="shared" ca="1" si="373"/>
        <v>#N/A</v>
      </c>
      <c r="AD784" s="376" t="e">
        <f t="shared" ca="1" si="374"/>
        <v>#N/A</v>
      </c>
      <c r="AE784" s="377" t="e">
        <f t="shared" ca="1" si="353"/>
        <v>#N/A</v>
      </c>
      <c r="AF784" s="344"/>
      <c r="AG784" s="359">
        <f t="shared" ca="1" si="375"/>
        <v>3.6583078687315576</v>
      </c>
      <c r="AH784" s="357">
        <f t="shared" ca="1" si="376"/>
        <v>-6.0603786001399405</v>
      </c>
    </row>
    <row r="785" spans="1:34" x14ac:dyDescent="0.25">
      <c r="A785" s="402">
        <f t="shared" ca="1" si="354"/>
        <v>1E-4</v>
      </c>
      <c r="B785" s="357">
        <f t="shared" ca="1" si="355"/>
        <v>35.606500000000409</v>
      </c>
      <c r="C785" s="342"/>
      <c r="D785" s="359">
        <f t="shared" ca="1" si="356"/>
        <v>-0.82496337110436635</v>
      </c>
      <c r="E785" s="360">
        <f t="shared" ca="1" si="357"/>
        <v>-3.8059917310999873</v>
      </c>
      <c r="F785" s="357">
        <f t="shared" ca="1" si="358"/>
        <v>3.8943725580464639</v>
      </c>
      <c r="G785" s="359">
        <f t="shared" ca="1" si="359"/>
        <v>18.707894459178515</v>
      </c>
      <c r="H785" s="360">
        <f t="shared" ca="1" si="360"/>
        <v>-136.15533276988799</v>
      </c>
      <c r="I785" s="357">
        <f t="shared" ca="1" si="361"/>
        <v>137.43456609155754</v>
      </c>
      <c r="J785" s="359">
        <f t="shared" ca="1" si="362"/>
        <v>1009.0500868209435</v>
      </c>
      <c r="K785" s="360">
        <f t="shared" ca="1" si="363"/>
        <v>-11.844856992523519</v>
      </c>
      <c r="L785" s="357">
        <f t="shared" ca="1" si="348"/>
        <v>1009.1196055723658</v>
      </c>
      <c r="M785" s="359">
        <f t="shared" ca="1" si="364"/>
        <v>-1.4342502162964501</v>
      </c>
      <c r="N785" s="357">
        <f t="shared" ca="1" si="365"/>
        <v>-82.176484159512043</v>
      </c>
      <c r="O785" s="343"/>
      <c r="P785" s="363">
        <f t="shared" ca="1" si="366"/>
        <v>23</v>
      </c>
      <c r="Q785" s="357">
        <f t="shared" ca="1" si="367"/>
        <v>0</v>
      </c>
      <c r="R785" s="359">
        <f t="shared" ca="1" si="368"/>
        <v>0</v>
      </c>
      <c r="S785" s="360">
        <f t="shared" ca="1" si="369"/>
        <v>8.6519999999999992</v>
      </c>
      <c r="T785" s="357">
        <f t="shared" ca="1" si="349"/>
        <v>84.87612</v>
      </c>
      <c r="U785" s="364">
        <f t="shared" ca="1" si="350"/>
        <v>0</v>
      </c>
      <c r="V785" s="359">
        <f t="shared" ca="1" si="351"/>
        <v>1.2264518548322274</v>
      </c>
      <c r="W785" s="357">
        <f t="shared" ca="1" si="352"/>
        <v>52.435096726673031</v>
      </c>
      <c r="X785" s="343"/>
      <c r="Y785" s="367" t="str">
        <f t="shared" ca="1" si="370"/>
        <v/>
      </c>
      <c r="Z785" s="368" t="str">
        <f t="shared" ca="1" si="371"/>
        <v/>
      </c>
      <c r="AA785" s="369" t="str">
        <f t="shared" ca="1" si="372"/>
        <v/>
      </c>
      <c r="AB785" s="344"/>
      <c r="AC785" s="363" t="e">
        <f t="shared" ca="1" si="373"/>
        <v>#N/A</v>
      </c>
      <c r="AD785" s="376" t="e">
        <f t="shared" ca="1" si="374"/>
        <v>#N/A</v>
      </c>
      <c r="AE785" s="377" t="e">
        <f t="shared" ca="1" si="353"/>
        <v>#N/A</v>
      </c>
      <c r="AF785" s="344"/>
      <c r="AG785" s="359">
        <f t="shared" ca="1" si="375"/>
        <v>3.6582686507886057</v>
      </c>
      <c r="AH785" s="357">
        <f t="shared" ca="1" si="376"/>
        <v>-6.060419115596182</v>
      </c>
    </row>
    <row r="786" spans="1:34" x14ac:dyDescent="0.25">
      <c r="A786" s="402">
        <f t="shared" ca="1" si="354"/>
        <v>1E-4</v>
      </c>
      <c r="B786" s="357">
        <f t="shared" ca="1" si="355"/>
        <v>35.606600000000412</v>
      </c>
      <c r="C786" s="342"/>
      <c r="D786" s="359">
        <f t="shared" ca="1" si="356"/>
        <v>-0.82496305240801271</v>
      </c>
      <c r="E786" s="360">
        <f t="shared" ca="1" si="357"/>
        <v>-3.8059507913319814</v>
      </c>
      <c r="F786" s="357">
        <f t="shared" ca="1" si="358"/>
        <v>3.8943324798839249</v>
      </c>
      <c r="G786" s="359">
        <f t="shared" ca="1" si="359"/>
        <v>18.707811962873276</v>
      </c>
      <c r="H786" s="360">
        <f t="shared" ca="1" si="360"/>
        <v>-136.15571336496711</v>
      </c>
      <c r="I786" s="357">
        <f t="shared" ca="1" si="361"/>
        <v>137.43493191456568</v>
      </c>
      <c r="J786" s="359">
        <f t="shared" ca="1" si="362"/>
        <v>1009.0500868209435</v>
      </c>
      <c r="K786" s="360">
        <f t="shared" ca="1" si="363"/>
        <v>-11.858472544830262</v>
      </c>
      <c r="L786" s="357">
        <f t="shared" ca="1" si="348"/>
        <v>1009.1197654810107</v>
      </c>
      <c r="M786" s="359">
        <f t="shared" ca="1" si="364"/>
        <v>-1.4342511879262165</v>
      </c>
      <c r="N786" s="357">
        <f t="shared" ca="1" si="365"/>
        <v>-82.176539829796909</v>
      </c>
      <c r="O786" s="343"/>
      <c r="P786" s="363">
        <f t="shared" ca="1" si="366"/>
        <v>23</v>
      </c>
      <c r="Q786" s="357">
        <f t="shared" ca="1" si="367"/>
        <v>0</v>
      </c>
      <c r="R786" s="359">
        <f t="shared" ca="1" si="368"/>
        <v>0</v>
      </c>
      <c r="S786" s="360">
        <f t="shared" ca="1" si="369"/>
        <v>8.6519999999999992</v>
      </c>
      <c r="T786" s="357">
        <f t="shared" ca="1" si="349"/>
        <v>84.87612</v>
      </c>
      <c r="U786" s="364">
        <f t="shared" ca="1" si="350"/>
        <v>0</v>
      </c>
      <c r="V786" s="359">
        <f t="shared" ca="1" si="351"/>
        <v>1.2264535247158888</v>
      </c>
      <c r="W786" s="357">
        <f t="shared" ca="1" si="352"/>
        <v>52.435447264015359</v>
      </c>
      <c r="X786" s="343"/>
      <c r="Y786" s="367" t="str">
        <f t="shared" ca="1" si="370"/>
        <v/>
      </c>
      <c r="Z786" s="368" t="str">
        <f t="shared" ca="1" si="371"/>
        <v/>
      </c>
      <c r="AA786" s="369" t="str">
        <f t="shared" ca="1" si="372"/>
        <v/>
      </c>
      <c r="AB786" s="344"/>
      <c r="AC786" s="363" t="e">
        <f t="shared" ca="1" si="373"/>
        <v>#N/A</v>
      </c>
      <c r="AD786" s="376" t="e">
        <f t="shared" ca="1" si="374"/>
        <v>#N/A</v>
      </c>
      <c r="AE786" s="377" t="e">
        <f t="shared" ca="1" si="353"/>
        <v>#N/A</v>
      </c>
      <c r="AF786" s="344"/>
      <c r="AG786" s="359">
        <f t="shared" ca="1" si="375"/>
        <v>3.6582294329616838</v>
      </c>
      <c r="AH786" s="357">
        <f t="shared" ca="1" si="376"/>
        <v>-6.0604596309145906</v>
      </c>
    </row>
    <row r="787" spans="1:34" x14ac:dyDescent="0.25">
      <c r="A787" s="402">
        <f t="shared" ca="1" si="354"/>
        <v>1E-4</v>
      </c>
      <c r="B787" s="357">
        <f t="shared" ca="1" si="355"/>
        <v>35.606700000000416</v>
      </c>
      <c r="C787" s="342"/>
      <c r="D787" s="359">
        <f t="shared" ca="1" si="356"/>
        <v>-0.82496273367090234</v>
      </c>
      <c r="E787" s="360">
        <f t="shared" ca="1" si="357"/>
        <v>-3.8059098517032792</v>
      </c>
      <c r="F787" s="357">
        <f t="shared" ca="1" si="358"/>
        <v>3.8942924018668457</v>
      </c>
      <c r="G787" s="359">
        <f t="shared" ca="1" si="359"/>
        <v>18.707729466599908</v>
      </c>
      <c r="H787" s="360">
        <f t="shared" ca="1" si="360"/>
        <v>-136.15609395595229</v>
      </c>
      <c r="I787" s="357">
        <f t="shared" ca="1" si="361"/>
        <v>137.43529773365211</v>
      </c>
      <c r="J787" s="359">
        <f t="shared" ca="1" si="362"/>
        <v>1009.0500868209435</v>
      </c>
      <c r="K787" s="360">
        <f t="shared" ca="1" si="363"/>
        <v>-11.872088135196307</v>
      </c>
      <c r="L787" s="357">
        <f t="shared" ca="1" si="348"/>
        <v>1009.1199255737861</v>
      </c>
      <c r="M787" s="359">
        <f t="shared" ca="1" si="364"/>
        <v>-1.4342521595465263</v>
      </c>
      <c r="N787" s="357">
        <f t="shared" ca="1" si="365"/>
        <v>-82.176595499539943</v>
      </c>
      <c r="O787" s="343"/>
      <c r="P787" s="363">
        <f t="shared" ca="1" si="366"/>
        <v>23</v>
      </c>
      <c r="Q787" s="357">
        <f t="shared" ca="1" si="367"/>
        <v>0</v>
      </c>
      <c r="R787" s="359">
        <f t="shared" ca="1" si="368"/>
        <v>0</v>
      </c>
      <c r="S787" s="360">
        <f t="shared" ca="1" si="369"/>
        <v>8.6519999999999992</v>
      </c>
      <c r="T787" s="357">
        <f t="shared" ca="1" si="349"/>
        <v>84.87612</v>
      </c>
      <c r="U787" s="364">
        <f t="shared" ca="1" si="350"/>
        <v>0</v>
      </c>
      <c r="V787" s="359">
        <f t="shared" ca="1" si="351"/>
        <v>1.2264551946064925</v>
      </c>
      <c r="W787" s="357">
        <f t="shared" ca="1" si="352"/>
        <v>52.43579780016514</v>
      </c>
      <c r="X787" s="343"/>
      <c r="Y787" s="367" t="str">
        <f t="shared" ca="1" si="370"/>
        <v/>
      </c>
      <c r="Z787" s="368" t="str">
        <f t="shared" ca="1" si="371"/>
        <v/>
      </c>
      <c r="AA787" s="369" t="str">
        <f t="shared" ca="1" si="372"/>
        <v/>
      </c>
      <c r="AB787" s="344"/>
      <c r="AC787" s="363" t="e">
        <f t="shared" ca="1" si="373"/>
        <v>#N/A</v>
      </c>
      <c r="AD787" s="376" t="e">
        <f t="shared" ca="1" si="374"/>
        <v>#N/A</v>
      </c>
      <c r="AE787" s="377" t="e">
        <f t="shared" ca="1" si="353"/>
        <v>#N/A</v>
      </c>
      <c r="AF787" s="344"/>
      <c r="AG787" s="359">
        <f t="shared" ca="1" si="375"/>
        <v>3.6581902152507917</v>
      </c>
      <c r="AH787" s="357">
        <f t="shared" ca="1" si="376"/>
        <v>-6.0605001460951646</v>
      </c>
    </row>
    <row r="788" spans="1:34" x14ac:dyDescent="0.25">
      <c r="A788" s="402">
        <f t="shared" ca="1" si="354"/>
        <v>1E-4</v>
      </c>
      <c r="B788" s="357">
        <f t="shared" ca="1" si="355"/>
        <v>35.606800000000419</v>
      </c>
      <c r="C788" s="342"/>
      <c r="D788" s="359">
        <f t="shared" ca="1" si="356"/>
        <v>-0.82496241489303124</v>
      </c>
      <c r="E788" s="360">
        <f t="shared" ca="1" si="357"/>
        <v>-3.8058689122138816</v>
      </c>
      <c r="F788" s="357">
        <f t="shared" ca="1" si="358"/>
        <v>3.894252323995226</v>
      </c>
      <c r="G788" s="359">
        <f t="shared" ca="1" si="359"/>
        <v>18.707646970358418</v>
      </c>
      <c r="H788" s="360">
        <f t="shared" ca="1" si="360"/>
        <v>-136.15647454284351</v>
      </c>
      <c r="I788" s="357">
        <f t="shared" ca="1" si="361"/>
        <v>137.43566354881673</v>
      </c>
      <c r="J788" s="359">
        <f t="shared" ca="1" si="362"/>
        <v>1009.0500868209435</v>
      </c>
      <c r="K788" s="360">
        <f t="shared" ca="1" si="363"/>
        <v>-11.885703763621247</v>
      </c>
      <c r="L788" s="357">
        <f t="shared" ca="1" si="348"/>
        <v>1009.1200858506932</v>
      </c>
      <c r="M788" s="359">
        <f t="shared" ca="1" si="364"/>
        <v>-1.4342531311573787</v>
      </c>
      <c r="N788" s="357">
        <f t="shared" ca="1" si="365"/>
        <v>-82.176651168741117</v>
      </c>
      <c r="O788" s="343"/>
      <c r="P788" s="363">
        <f t="shared" ca="1" si="366"/>
        <v>23</v>
      </c>
      <c r="Q788" s="357">
        <f t="shared" ca="1" si="367"/>
        <v>0</v>
      </c>
      <c r="R788" s="359">
        <f t="shared" ca="1" si="368"/>
        <v>0</v>
      </c>
      <c r="S788" s="360">
        <f t="shared" ca="1" si="369"/>
        <v>8.6519999999999992</v>
      </c>
      <c r="T788" s="357">
        <f t="shared" ca="1" si="349"/>
        <v>84.87612</v>
      </c>
      <c r="U788" s="364">
        <f t="shared" ca="1" si="350"/>
        <v>0</v>
      </c>
      <c r="V788" s="359">
        <f t="shared" ca="1" si="351"/>
        <v>1.2264568645040397</v>
      </c>
      <c r="W788" s="357">
        <f t="shared" ca="1" si="352"/>
        <v>52.436148335122368</v>
      </c>
      <c r="X788" s="343"/>
      <c r="Y788" s="367" t="str">
        <f t="shared" ca="1" si="370"/>
        <v/>
      </c>
      <c r="Z788" s="368" t="str">
        <f t="shared" ca="1" si="371"/>
        <v/>
      </c>
      <c r="AA788" s="369" t="str">
        <f t="shared" ca="1" si="372"/>
        <v/>
      </c>
      <c r="AB788" s="344"/>
      <c r="AC788" s="363" t="e">
        <f t="shared" ca="1" si="373"/>
        <v>#N/A</v>
      </c>
      <c r="AD788" s="376" t="e">
        <f t="shared" ca="1" si="374"/>
        <v>#N/A</v>
      </c>
      <c r="AE788" s="377" t="e">
        <f t="shared" ca="1" si="353"/>
        <v>#N/A</v>
      </c>
      <c r="AF788" s="344"/>
      <c r="AG788" s="359">
        <f t="shared" ca="1" si="375"/>
        <v>3.658150997655933</v>
      </c>
      <c r="AH788" s="357">
        <f t="shared" ca="1" si="376"/>
        <v>-6.060540661137904</v>
      </c>
    </row>
    <row r="789" spans="1:34" x14ac:dyDescent="0.25">
      <c r="A789" s="402">
        <f t="shared" ca="1" si="354"/>
        <v>1E-4</v>
      </c>
      <c r="B789" s="357">
        <f t="shared" ca="1" si="355"/>
        <v>35.606900000000422</v>
      </c>
      <c r="C789" s="342"/>
      <c r="D789" s="359">
        <f t="shared" ca="1" si="356"/>
        <v>-0.82496209607440507</v>
      </c>
      <c r="E789" s="360">
        <f t="shared" ca="1" si="357"/>
        <v>-3.8058279728637903</v>
      </c>
      <c r="F789" s="357">
        <f t="shared" ca="1" si="358"/>
        <v>3.8942122462690683</v>
      </c>
      <c r="G789" s="359">
        <f t="shared" ca="1" si="359"/>
        <v>18.707564474148811</v>
      </c>
      <c r="H789" s="360">
        <f t="shared" ca="1" si="360"/>
        <v>-136.15685512564079</v>
      </c>
      <c r="I789" s="357">
        <f t="shared" ca="1" si="361"/>
        <v>137.43602936005962</v>
      </c>
      <c r="J789" s="359">
        <f t="shared" ca="1" si="362"/>
        <v>1009.0500868209435</v>
      </c>
      <c r="K789" s="360">
        <f t="shared" ca="1" si="363"/>
        <v>-11.899319430104672</v>
      </c>
      <c r="L789" s="357">
        <f t="shared" ca="1" si="348"/>
        <v>1009.1202463117334</v>
      </c>
      <c r="M789" s="359">
        <f t="shared" ca="1" si="364"/>
        <v>-1.4342541027587747</v>
      </c>
      <c r="N789" s="357">
        <f t="shared" ca="1" si="365"/>
        <v>-82.176706837400474</v>
      </c>
      <c r="O789" s="343"/>
      <c r="P789" s="363">
        <f t="shared" ca="1" si="366"/>
        <v>23</v>
      </c>
      <c r="Q789" s="357">
        <f t="shared" ca="1" si="367"/>
        <v>0</v>
      </c>
      <c r="R789" s="359">
        <f t="shared" ca="1" si="368"/>
        <v>0</v>
      </c>
      <c r="S789" s="360">
        <f t="shared" ca="1" si="369"/>
        <v>8.6519999999999992</v>
      </c>
      <c r="T789" s="357">
        <f t="shared" ca="1" si="349"/>
        <v>84.87612</v>
      </c>
      <c r="U789" s="364">
        <f t="shared" ca="1" si="350"/>
        <v>0</v>
      </c>
      <c r="V789" s="359">
        <f t="shared" ca="1" si="351"/>
        <v>1.2264585344085293</v>
      </c>
      <c r="W789" s="357">
        <f t="shared" ca="1" si="352"/>
        <v>52.436498868886964</v>
      </c>
      <c r="X789" s="343"/>
      <c r="Y789" s="367" t="str">
        <f t="shared" ca="1" si="370"/>
        <v/>
      </c>
      <c r="Z789" s="368" t="str">
        <f t="shared" ca="1" si="371"/>
        <v/>
      </c>
      <c r="AA789" s="369" t="str">
        <f t="shared" ca="1" si="372"/>
        <v/>
      </c>
      <c r="AB789" s="344"/>
      <c r="AC789" s="363" t="e">
        <f t="shared" ca="1" si="373"/>
        <v>#N/A</v>
      </c>
      <c r="AD789" s="376" t="e">
        <f t="shared" ca="1" si="374"/>
        <v>#N/A</v>
      </c>
      <c r="AE789" s="377" t="e">
        <f t="shared" ca="1" si="353"/>
        <v>#N/A</v>
      </c>
      <c r="AF789" s="344"/>
      <c r="AG789" s="359">
        <f t="shared" ca="1" si="375"/>
        <v>3.658111780177105</v>
      </c>
      <c r="AH789" s="357">
        <f t="shared" ca="1" si="376"/>
        <v>-6.0605811760428079</v>
      </c>
    </row>
    <row r="790" spans="1:34" x14ac:dyDescent="0.25">
      <c r="A790" s="402">
        <f t="shared" ca="1" si="354"/>
        <v>1E-4</v>
      </c>
      <c r="B790" s="357">
        <f t="shared" ca="1" si="355"/>
        <v>35.607000000000426</v>
      </c>
      <c r="C790" s="342"/>
      <c r="D790" s="359">
        <f t="shared" ca="1" si="356"/>
        <v>-0.82496177721501884</v>
      </c>
      <c r="E790" s="360">
        <f t="shared" ca="1" si="357"/>
        <v>-3.8057870336530124</v>
      </c>
      <c r="F790" s="357">
        <f t="shared" ca="1" si="358"/>
        <v>3.8941721686883795</v>
      </c>
      <c r="G790" s="359">
        <f t="shared" ca="1" si="359"/>
        <v>18.707481977971089</v>
      </c>
      <c r="H790" s="360">
        <f t="shared" ca="1" si="360"/>
        <v>-136.15723570434415</v>
      </c>
      <c r="I790" s="357">
        <f t="shared" ca="1" si="361"/>
        <v>137.43639516738077</v>
      </c>
      <c r="J790" s="359">
        <f t="shared" ca="1" si="362"/>
        <v>1009.0500868209435</v>
      </c>
      <c r="K790" s="360">
        <f t="shared" ca="1" si="363"/>
        <v>-11.912935134646171</v>
      </c>
      <c r="L790" s="357">
        <f t="shared" ca="1" si="348"/>
        <v>1009.1204069569081</v>
      </c>
      <c r="M790" s="359">
        <f t="shared" ca="1" si="364"/>
        <v>-1.4342550743507139</v>
      </c>
      <c r="N790" s="357">
        <f t="shared" ca="1" si="365"/>
        <v>-82.176762505517999</v>
      </c>
      <c r="O790" s="343"/>
      <c r="P790" s="363">
        <f t="shared" ca="1" si="366"/>
        <v>23</v>
      </c>
      <c r="Q790" s="357">
        <f t="shared" ca="1" si="367"/>
        <v>0</v>
      </c>
      <c r="R790" s="359">
        <f t="shared" ca="1" si="368"/>
        <v>0</v>
      </c>
      <c r="S790" s="360">
        <f t="shared" ca="1" si="369"/>
        <v>8.6519999999999992</v>
      </c>
      <c r="T790" s="357">
        <f t="shared" ca="1" si="349"/>
        <v>84.87612</v>
      </c>
      <c r="U790" s="364">
        <f t="shared" ca="1" si="350"/>
        <v>0</v>
      </c>
      <c r="V790" s="359">
        <f t="shared" ca="1" si="351"/>
        <v>1.2264602043199615</v>
      </c>
      <c r="W790" s="357">
        <f t="shared" ca="1" si="352"/>
        <v>52.43684940145895</v>
      </c>
      <c r="X790" s="343"/>
      <c r="Y790" s="367" t="str">
        <f t="shared" ca="1" si="370"/>
        <v/>
      </c>
      <c r="Z790" s="368" t="str">
        <f t="shared" ca="1" si="371"/>
        <v/>
      </c>
      <c r="AA790" s="369" t="str">
        <f t="shared" ca="1" si="372"/>
        <v/>
      </c>
      <c r="AB790" s="344"/>
      <c r="AC790" s="363" t="e">
        <f t="shared" ca="1" si="373"/>
        <v>#N/A</v>
      </c>
      <c r="AD790" s="376" t="e">
        <f t="shared" ca="1" si="374"/>
        <v>#N/A</v>
      </c>
      <c r="AE790" s="377" t="e">
        <f t="shared" ca="1" si="353"/>
        <v>#N/A</v>
      </c>
      <c r="AF790" s="344"/>
      <c r="AG790" s="359">
        <f t="shared" ca="1" si="375"/>
        <v>3.6580725628143185</v>
      </c>
      <c r="AH790" s="357">
        <f t="shared" ca="1" si="376"/>
        <v>-6.0606216908098673</v>
      </c>
    </row>
    <row r="791" spans="1:34" x14ac:dyDescent="0.25">
      <c r="A791" s="402">
        <f t="shared" ca="1" si="354"/>
        <v>1E-4</v>
      </c>
      <c r="B791" s="357">
        <f t="shared" ca="1" si="355"/>
        <v>35.607100000000429</v>
      </c>
      <c r="C791" s="342"/>
      <c r="D791" s="359">
        <f t="shared" ca="1" si="356"/>
        <v>-0.82496145831487677</v>
      </c>
      <c r="E791" s="360">
        <f t="shared" ca="1" si="357"/>
        <v>-3.805746094581548</v>
      </c>
      <c r="F791" s="357">
        <f t="shared" ca="1" si="358"/>
        <v>3.8941320912531605</v>
      </c>
      <c r="G791" s="359">
        <f t="shared" ca="1" si="359"/>
        <v>18.707399481825256</v>
      </c>
      <c r="H791" s="360">
        <f t="shared" ca="1" si="360"/>
        <v>-136.15761627895361</v>
      </c>
      <c r="I791" s="357">
        <f t="shared" ca="1" si="361"/>
        <v>137.4367609707802</v>
      </c>
      <c r="J791" s="359">
        <f t="shared" ca="1" si="362"/>
        <v>1009.0500868209435</v>
      </c>
      <c r="K791" s="360">
        <f t="shared" ca="1" si="363"/>
        <v>-11.926550877245335</v>
      </c>
      <c r="L791" s="357">
        <f t="shared" ca="1" si="348"/>
        <v>1009.1205677862191</v>
      </c>
      <c r="M791" s="359">
        <f t="shared" ca="1" si="364"/>
        <v>-1.4342560459331966</v>
      </c>
      <c r="N791" s="357">
        <f t="shared" ca="1" si="365"/>
        <v>-82.176818173093707</v>
      </c>
      <c r="O791" s="343"/>
      <c r="P791" s="363">
        <f t="shared" ca="1" si="366"/>
        <v>23</v>
      </c>
      <c r="Q791" s="357">
        <f t="shared" ca="1" si="367"/>
        <v>0</v>
      </c>
      <c r="R791" s="359">
        <f t="shared" ca="1" si="368"/>
        <v>0</v>
      </c>
      <c r="S791" s="360">
        <f t="shared" ca="1" si="369"/>
        <v>8.6519999999999992</v>
      </c>
      <c r="T791" s="357">
        <f t="shared" ca="1" si="349"/>
        <v>84.87612</v>
      </c>
      <c r="U791" s="364">
        <f t="shared" ca="1" si="350"/>
        <v>0</v>
      </c>
      <c r="V791" s="359">
        <f t="shared" ca="1" si="351"/>
        <v>1.2264618742383364</v>
      </c>
      <c r="W791" s="357">
        <f t="shared" ca="1" si="352"/>
        <v>52.437199932838297</v>
      </c>
      <c r="X791" s="343"/>
      <c r="Y791" s="367" t="str">
        <f t="shared" ca="1" si="370"/>
        <v/>
      </c>
      <c r="Z791" s="368" t="str">
        <f t="shared" ca="1" si="371"/>
        <v/>
      </c>
      <c r="AA791" s="369" t="str">
        <f t="shared" ca="1" si="372"/>
        <v/>
      </c>
      <c r="AB791" s="344"/>
      <c r="AC791" s="363" t="e">
        <f t="shared" ca="1" si="373"/>
        <v>#N/A</v>
      </c>
      <c r="AD791" s="376" t="e">
        <f t="shared" ca="1" si="374"/>
        <v>#N/A</v>
      </c>
      <c r="AE791" s="377" t="e">
        <f t="shared" ca="1" si="353"/>
        <v>#N/A</v>
      </c>
      <c r="AF791" s="344"/>
      <c r="AG791" s="359">
        <f t="shared" ca="1" si="375"/>
        <v>3.6580333455675733</v>
      </c>
      <c r="AH791" s="357">
        <f t="shared" ca="1" si="376"/>
        <v>-6.0606622054390842</v>
      </c>
    </row>
    <row r="792" spans="1:34" x14ac:dyDescent="0.25">
      <c r="A792" s="402">
        <f t="shared" ca="1" si="354"/>
        <v>1E-4</v>
      </c>
      <c r="B792" s="357">
        <f t="shared" ca="1" si="355"/>
        <v>35.607200000000432</v>
      </c>
      <c r="C792" s="342"/>
      <c r="D792" s="359">
        <f t="shared" ca="1" si="356"/>
        <v>-0.82496113937397753</v>
      </c>
      <c r="E792" s="360">
        <f t="shared" ca="1" si="357"/>
        <v>-3.8057051556493988</v>
      </c>
      <c r="F792" s="357">
        <f t="shared" ca="1" si="358"/>
        <v>3.8940920139634123</v>
      </c>
      <c r="G792" s="359">
        <f t="shared" ca="1" si="359"/>
        <v>18.707316985711319</v>
      </c>
      <c r="H792" s="360">
        <f t="shared" ca="1" si="360"/>
        <v>-136.15799684946919</v>
      </c>
      <c r="I792" s="357">
        <f t="shared" ca="1" si="361"/>
        <v>137.43712677025792</v>
      </c>
      <c r="J792" s="359">
        <f t="shared" ca="1" si="362"/>
        <v>1009.0500868209435</v>
      </c>
      <c r="K792" s="360">
        <f t="shared" ca="1" si="363"/>
        <v>-11.940166657901756</v>
      </c>
      <c r="L792" s="357">
        <f t="shared" ca="1" si="348"/>
        <v>1009.1207287996675</v>
      </c>
      <c r="M792" s="359">
        <f t="shared" ca="1" si="364"/>
        <v>-1.4342570175062228</v>
      </c>
      <c r="N792" s="357">
        <f t="shared" ca="1" si="365"/>
        <v>-82.176873840127598</v>
      </c>
      <c r="O792" s="343"/>
      <c r="P792" s="363">
        <f t="shared" ca="1" si="366"/>
        <v>23</v>
      </c>
      <c r="Q792" s="357">
        <f t="shared" ca="1" si="367"/>
        <v>0</v>
      </c>
      <c r="R792" s="359">
        <f t="shared" ca="1" si="368"/>
        <v>0</v>
      </c>
      <c r="S792" s="360">
        <f t="shared" ca="1" si="369"/>
        <v>8.6519999999999992</v>
      </c>
      <c r="T792" s="357">
        <f t="shared" ca="1" si="349"/>
        <v>84.87612</v>
      </c>
      <c r="U792" s="364">
        <f t="shared" ca="1" si="350"/>
        <v>0</v>
      </c>
      <c r="V792" s="359">
        <f t="shared" ca="1" si="351"/>
        <v>1.2264635441636544</v>
      </c>
      <c r="W792" s="357">
        <f t="shared" ca="1" si="352"/>
        <v>52.437550463025005</v>
      </c>
      <c r="X792" s="343"/>
      <c r="Y792" s="367" t="str">
        <f t="shared" ca="1" si="370"/>
        <v/>
      </c>
      <c r="Z792" s="368" t="str">
        <f t="shared" ca="1" si="371"/>
        <v/>
      </c>
      <c r="AA792" s="369" t="str">
        <f t="shared" ca="1" si="372"/>
        <v/>
      </c>
      <c r="AB792" s="344"/>
      <c r="AC792" s="363" t="e">
        <f t="shared" ca="1" si="373"/>
        <v>#N/A</v>
      </c>
      <c r="AD792" s="376" t="e">
        <f t="shared" ca="1" si="374"/>
        <v>#N/A</v>
      </c>
      <c r="AE792" s="377" t="e">
        <f t="shared" ca="1" si="353"/>
        <v>#N/A</v>
      </c>
      <c r="AF792" s="344"/>
      <c r="AG792" s="359">
        <f t="shared" ca="1" si="375"/>
        <v>3.6579941284368704</v>
      </c>
      <c r="AH792" s="357">
        <f t="shared" ca="1" si="376"/>
        <v>-6.0607027199304557</v>
      </c>
    </row>
    <row r="793" spans="1:34" x14ac:dyDescent="0.25">
      <c r="A793" s="402">
        <f t="shared" ca="1" si="354"/>
        <v>1E-4</v>
      </c>
      <c r="B793" s="357">
        <f t="shared" ca="1" si="355"/>
        <v>35.607300000000436</v>
      </c>
      <c r="C793" s="342"/>
      <c r="D793" s="359">
        <f t="shared" ca="1" si="356"/>
        <v>-0.82496082039232277</v>
      </c>
      <c r="E793" s="360">
        <f t="shared" ca="1" si="357"/>
        <v>-3.8056642168565658</v>
      </c>
      <c r="F793" s="357">
        <f t="shared" ca="1" si="358"/>
        <v>3.8940519368191371</v>
      </c>
      <c r="G793" s="359">
        <f t="shared" ca="1" si="359"/>
        <v>18.707234489629279</v>
      </c>
      <c r="H793" s="360">
        <f t="shared" ca="1" si="360"/>
        <v>-136.15837741589087</v>
      </c>
      <c r="I793" s="357">
        <f t="shared" ca="1" si="361"/>
        <v>137.4374925658139</v>
      </c>
      <c r="J793" s="359">
        <f t="shared" ca="1" si="362"/>
        <v>1009.0500868209435</v>
      </c>
      <c r="K793" s="360">
        <f t="shared" ca="1" si="363"/>
        <v>-11.953782476615023</v>
      </c>
      <c r="L793" s="357">
        <f t="shared" ca="1" si="348"/>
        <v>1009.1208899972549</v>
      </c>
      <c r="M793" s="359">
        <f t="shared" ca="1" si="364"/>
        <v>-1.4342579890697928</v>
      </c>
      <c r="N793" s="357">
        <f t="shared" ca="1" si="365"/>
        <v>-82.176929506619686</v>
      </c>
      <c r="O793" s="343"/>
      <c r="P793" s="363">
        <f t="shared" ca="1" si="366"/>
        <v>23</v>
      </c>
      <c r="Q793" s="357">
        <f t="shared" ca="1" si="367"/>
        <v>0</v>
      </c>
      <c r="R793" s="359">
        <f t="shared" ca="1" si="368"/>
        <v>0</v>
      </c>
      <c r="S793" s="360">
        <f t="shared" ca="1" si="369"/>
        <v>8.6519999999999992</v>
      </c>
      <c r="T793" s="357">
        <f t="shared" ca="1" si="349"/>
        <v>84.87612</v>
      </c>
      <c r="U793" s="364">
        <f t="shared" ca="1" si="350"/>
        <v>0</v>
      </c>
      <c r="V793" s="359">
        <f t="shared" ca="1" si="351"/>
        <v>1.2264652140959149</v>
      </c>
      <c r="W793" s="357">
        <f t="shared" ca="1" si="352"/>
        <v>52.437900992018996</v>
      </c>
      <c r="X793" s="343"/>
      <c r="Y793" s="367" t="str">
        <f t="shared" ca="1" si="370"/>
        <v/>
      </c>
      <c r="Z793" s="368" t="str">
        <f t="shared" ca="1" si="371"/>
        <v/>
      </c>
      <c r="AA793" s="369" t="str">
        <f t="shared" ca="1" si="372"/>
        <v/>
      </c>
      <c r="AB793" s="344"/>
      <c r="AC793" s="363" t="e">
        <f t="shared" ca="1" si="373"/>
        <v>#N/A</v>
      </c>
      <c r="AD793" s="376" t="e">
        <f t="shared" ca="1" si="374"/>
        <v>#N/A</v>
      </c>
      <c r="AE793" s="377" t="e">
        <f t="shared" ca="1" si="353"/>
        <v>#N/A</v>
      </c>
      <c r="AF793" s="344"/>
      <c r="AG793" s="359">
        <f t="shared" ca="1" si="375"/>
        <v>3.6579549114222116</v>
      </c>
      <c r="AH793" s="357">
        <f t="shared" ca="1" si="376"/>
        <v>-6.060743234283982</v>
      </c>
    </row>
    <row r="794" spans="1:34" x14ac:dyDescent="0.25">
      <c r="A794" s="402">
        <f t="shared" ca="1" si="354"/>
        <v>1E-4</v>
      </c>
      <c r="B794" s="357">
        <f t="shared" ca="1" si="355"/>
        <v>35.607400000000439</v>
      </c>
      <c r="C794" s="342"/>
      <c r="D794" s="359">
        <f t="shared" ca="1" si="356"/>
        <v>-0.82496050136991128</v>
      </c>
      <c r="E794" s="360">
        <f t="shared" ca="1" si="357"/>
        <v>-3.8056232782030568</v>
      </c>
      <c r="F794" s="357">
        <f t="shared" ca="1" si="358"/>
        <v>3.8940118598203415</v>
      </c>
      <c r="G794" s="359">
        <f t="shared" ca="1" si="359"/>
        <v>18.707151993579142</v>
      </c>
      <c r="H794" s="360">
        <f t="shared" ca="1" si="360"/>
        <v>-136.15875797821869</v>
      </c>
      <c r="I794" s="357">
        <f t="shared" ca="1" si="361"/>
        <v>137.43785835744825</v>
      </c>
      <c r="J794" s="359">
        <f t="shared" ca="1" si="362"/>
        <v>1009.0500868209435</v>
      </c>
      <c r="K794" s="360">
        <f t="shared" ca="1" si="363"/>
        <v>-11.967398333384729</v>
      </c>
      <c r="L794" s="357">
        <f t="shared" ca="1" si="348"/>
        <v>1009.1210513789828</v>
      </c>
      <c r="M794" s="359">
        <f t="shared" ca="1" si="364"/>
        <v>-1.4342589606239069</v>
      </c>
      <c r="N794" s="357">
        <f t="shared" ca="1" si="365"/>
        <v>-82.176985172569985</v>
      </c>
      <c r="O794" s="343"/>
      <c r="P794" s="363">
        <f t="shared" ca="1" si="366"/>
        <v>23</v>
      </c>
      <c r="Q794" s="357">
        <f t="shared" ca="1" si="367"/>
        <v>0</v>
      </c>
      <c r="R794" s="359">
        <f t="shared" ca="1" si="368"/>
        <v>0</v>
      </c>
      <c r="S794" s="360">
        <f t="shared" ca="1" si="369"/>
        <v>8.6519999999999992</v>
      </c>
      <c r="T794" s="357">
        <f t="shared" ca="1" si="349"/>
        <v>84.87612</v>
      </c>
      <c r="U794" s="364">
        <f t="shared" ca="1" si="350"/>
        <v>0</v>
      </c>
      <c r="V794" s="359">
        <f t="shared" ca="1" si="351"/>
        <v>1.2264668840351176</v>
      </c>
      <c r="W794" s="357">
        <f t="shared" ca="1" si="352"/>
        <v>52.438251519820327</v>
      </c>
      <c r="X794" s="343"/>
      <c r="Y794" s="367" t="str">
        <f t="shared" ca="1" si="370"/>
        <v/>
      </c>
      <c r="Z794" s="368" t="str">
        <f t="shared" ca="1" si="371"/>
        <v/>
      </c>
      <c r="AA794" s="369" t="str">
        <f t="shared" ca="1" si="372"/>
        <v/>
      </c>
      <c r="AB794" s="344"/>
      <c r="AC794" s="363" t="e">
        <f t="shared" ca="1" si="373"/>
        <v>#N/A</v>
      </c>
      <c r="AD794" s="376" t="e">
        <f t="shared" ca="1" si="374"/>
        <v>#N/A</v>
      </c>
      <c r="AE794" s="377" t="e">
        <f t="shared" ca="1" si="353"/>
        <v>#N/A</v>
      </c>
      <c r="AF794" s="344"/>
      <c r="AG794" s="359">
        <f t="shared" ca="1" si="375"/>
        <v>3.6579156945236102</v>
      </c>
      <c r="AH794" s="357">
        <f t="shared" ca="1" si="376"/>
        <v>-6.0607837484996532</v>
      </c>
    </row>
    <row r="795" spans="1:34" x14ac:dyDescent="0.25">
      <c r="A795" s="402">
        <f t="shared" ca="1" si="354"/>
        <v>1E-4</v>
      </c>
      <c r="B795" s="357">
        <f t="shared" ca="1" si="355"/>
        <v>35.607500000000442</v>
      </c>
      <c r="C795" s="342"/>
      <c r="D795" s="359">
        <f t="shared" ca="1" si="356"/>
        <v>-0.82496018230674428</v>
      </c>
      <c r="E795" s="360">
        <f t="shared" ca="1" si="357"/>
        <v>-3.8055823396888657</v>
      </c>
      <c r="F795" s="357">
        <f t="shared" ca="1" si="358"/>
        <v>3.8939717829670206</v>
      </c>
      <c r="G795" s="359">
        <f t="shared" ca="1" si="359"/>
        <v>18.707069497560912</v>
      </c>
      <c r="H795" s="360">
        <f t="shared" ca="1" si="360"/>
        <v>-136.15913853645264</v>
      </c>
      <c r="I795" s="357">
        <f t="shared" ca="1" si="361"/>
        <v>137.43822414516086</v>
      </c>
      <c r="J795" s="359">
        <f t="shared" ca="1" si="362"/>
        <v>1009.0500868209435</v>
      </c>
      <c r="K795" s="360">
        <f t="shared" ca="1" si="363"/>
        <v>-11.981014228210462</v>
      </c>
      <c r="L795" s="357">
        <f t="shared" ca="1" si="348"/>
        <v>1009.1212129448525</v>
      </c>
      <c r="M795" s="359">
        <f t="shared" ca="1" si="364"/>
        <v>-1.4342599321685647</v>
      </c>
      <c r="N795" s="357">
        <f t="shared" ca="1" si="365"/>
        <v>-82.177040837978495</v>
      </c>
      <c r="O795" s="343"/>
      <c r="P795" s="363">
        <f t="shared" ca="1" si="366"/>
        <v>23</v>
      </c>
      <c r="Q795" s="357">
        <f t="shared" ca="1" si="367"/>
        <v>0</v>
      </c>
      <c r="R795" s="359">
        <f t="shared" ca="1" si="368"/>
        <v>0</v>
      </c>
      <c r="S795" s="360">
        <f t="shared" ca="1" si="369"/>
        <v>8.6519999999999992</v>
      </c>
      <c r="T795" s="357">
        <f t="shared" ca="1" si="349"/>
        <v>84.87612</v>
      </c>
      <c r="U795" s="364">
        <f t="shared" ca="1" si="350"/>
        <v>0</v>
      </c>
      <c r="V795" s="359">
        <f t="shared" ca="1" si="351"/>
        <v>1.2264685539812632</v>
      </c>
      <c r="W795" s="357">
        <f t="shared" ca="1" si="352"/>
        <v>52.438602046428883</v>
      </c>
      <c r="X795" s="343"/>
      <c r="Y795" s="367" t="str">
        <f t="shared" ca="1" si="370"/>
        <v/>
      </c>
      <c r="Z795" s="368" t="str">
        <f t="shared" ca="1" si="371"/>
        <v/>
      </c>
      <c r="AA795" s="369" t="str">
        <f t="shared" ca="1" si="372"/>
        <v/>
      </c>
      <c r="AB795" s="344"/>
      <c r="AC795" s="363" t="e">
        <f t="shared" ca="1" si="373"/>
        <v>#N/A</v>
      </c>
      <c r="AD795" s="376" t="e">
        <f t="shared" ca="1" si="374"/>
        <v>#N/A</v>
      </c>
      <c r="AE795" s="377" t="e">
        <f t="shared" ca="1" si="353"/>
        <v>#N/A</v>
      </c>
      <c r="AF795" s="344"/>
      <c r="AG795" s="359">
        <f t="shared" ca="1" si="375"/>
        <v>3.6578764777410546</v>
      </c>
      <c r="AH795" s="357">
        <f t="shared" ca="1" si="376"/>
        <v>-6.0608242625774773</v>
      </c>
    </row>
    <row r="796" spans="1:34" x14ac:dyDescent="0.25">
      <c r="A796" s="402">
        <f t="shared" ca="1" si="354"/>
        <v>1E-4</v>
      </c>
      <c r="B796" s="357">
        <f t="shared" ca="1" si="355"/>
        <v>35.607600000000446</v>
      </c>
      <c r="C796" s="342"/>
      <c r="D796" s="359">
        <f t="shared" ca="1" si="356"/>
        <v>-0.82495986320282266</v>
      </c>
      <c r="E796" s="360">
        <f t="shared" ca="1" si="357"/>
        <v>-3.8055414013140068</v>
      </c>
      <c r="F796" s="357">
        <f t="shared" ca="1" si="358"/>
        <v>3.8939317062591883</v>
      </c>
      <c r="G796" s="359">
        <f t="shared" ca="1" si="359"/>
        <v>18.706987001574593</v>
      </c>
      <c r="H796" s="360">
        <f t="shared" ca="1" si="360"/>
        <v>-136.15951909059277</v>
      </c>
      <c r="I796" s="357">
        <f t="shared" ca="1" si="361"/>
        <v>137.43858992895181</v>
      </c>
      <c r="J796" s="359">
        <f t="shared" ca="1" si="362"/>
        <v>1009.0500868209435</v>
      </c>
      <c r="K796" s="360">
        <f t="shared" ca="1" si="363"/>
        <v>-11.994630161091814</v>
      </c>
      <c r="L796" s="357">
        <f t="shared" ca="1" si="348"/>
        <v>1009.1213746948654</v>
      </c>
      <c r="M796" s="359">
        <f t="shared" ca="1" si="364"/>
        <v>-1.434260903703767</v>
      </c>
      <c r="N796" s="357">
        <f t="shared" ca="1" si="365"/>
        <v>-82.177096502845231</v>
      </c>
      <c r="O796" s="343"/>
      <c r="P796" s="363">
        <f t="shared" ca="1" si="366"/>
        <v>23</v>
      </c>
      <c r="Q796" s="357">
        <f t="shared" ca="1" si="367"/>
        <v>0</v>
      </c>
      <c r="R796" s="359">
        <f t="shared" ca="1" si="368"/>
        <v>0</v>
      </c>
      <c r="S796" s="360">
        <f t="shared" ca="1" si="369"/>
        <v>8.6519999999999992</v>
      </c>
      <c r="T796" s="357">
        <f t="shared" ca="1" si="349"/>
        <v>84.87612</v>
      </c>
      <c r="U796" s="364">
        <f t="shared" ca="1" si="350"/>
        <v>0</v>
      </c>
      <c r="V796" s="359">
        <f t="shared" ca="1" si="351"/>
        <v>1.226470223934351</v>
      </c>
      <c r="W796" s="357">
        <f t="shared" ca="1" si="352"/>
        <v>52.438952571844702</v>
      </c>
      <c r="X796" s="343"/>
      <c r="Y796" s="367" t="str">
        <f t="shared" ca="1" si="370"/>
        <v/>
      </c>
      <c r="Z796" s="368" t="str">
        <f t="shared" ca="1" si="371"/>
        <v/>
      </c>
      <c r="AA796" s="369" t="str">
        <f t="shared" ca="1" si="372"/>
        <v/>
      </c>
      <c r="AB796" s="344"/>
      <c r="AC796" s="363" t="e">
        <f t="shared" ca="1" si="373"/>
        <v>#N/A</v>
      </c>
      <c r="AD796" s="376" t="e">
        <f t="shared" ca="1" si="374"/>
        <v>#N/A</v>
      </c>
      <c r="AE796" s="377" t="e">
        <f t="shared" ca="1" si="353"/>
        <v>#N/A</v>
      </c>
      <c r="AF796" s="344"/>
      <c r="AG796" s="359">
        <f t="shared" ca="1" si="375"/>
        <v>3.6578372610745582</v>
      </c>
      <c r="AH796" s="357">
        <f t="shared" ca="1" si="376"/>
        <v>-6.0608647765174393</v>
      </c>
    </row>
    <row r="797" spans="1:34" x14ac:dyDescent="0.25">
      <c r="A797" s="402">
        <f t="shared" ca="1" si="354"/>
        <v>1E-4</v>
      </c>
      <c r="B797" s="357">
        <f t="shared" ca="1" si="355"/>
        <v>35.607700000000449</v>
      </c>
      <c r="C797" s="342"/>
      <c r="D797" s="359">
        <f t="shared" ca="1" si="356"/>
        <v>-0.82495954405814487</v>
      </c>
      <c r="E797" s="360">
        <f t="shared" ca="1" si="357"/>
        <v>-3.8055004630784737</v>
      </c>
      <c r="F797" s="357">
        <f t="shared" ca="1" si="358"/>
        <v>3.8938916296968382</v>
      </c>
      <c r="G797" s="359">
        <f t="shared" ca="1" si="359"/>
        <v>18.706904505620187</v>
      </c>
      <c r="H797" s="360">
        <f t="shared" ca="1" si="360"/>
        <v>-136.15989964063908</v>
      </c>
      <c r="I797" s="357">
        <f t="shared" ca="1" si="361"/>
        <v>137.43895570882114</v>
      </c>
      <c r="J797" s="359">
        <f t="shared" ca="1" si="362"/>
        <v>1009.0500868209435</v>
      </c>
      <c r="K797" s="360">
        <f t="shared" ca="1" si="363"/>
        <v>-12.008246132028376</v>
      </c>
      <c r="L797" s="357">
        <f t="shared" ca="1" si="348"/>
        <v>1009.1215366290232</v>
      </c>
      <c r="M797" s="359">
        <f t="shared" ca="1" si="364"/>
        <v>-1.4342618752295138</v>
      </c>
      <c r="N797" s="357">
        <f t="shared" ca="1" si="365"/>
        <v>-82.177152167170206</v>
      </c>
      <c r="O797" s="343"/>
      <c r="P797" s="363">
        <f t="shared" ca="1" si="366"/>
        <v>23</v>
      </c>
      <c r="Q797" s="357">
        <f t="shared" ca="1" si="367"/>
        <v>0</v>
      </c>
      <c r="R797" s="359">
        <f t="shared" ca="1" si="368"/>
        <v>0</v>
      </c>
      <c r="S797" s="360">
        <f t="shared" ca="1" si="369"/>
        <v>8.6519999999999992</v>
      </c>
      <c r="T797" s="357">
        <f t="shared" ca="1" si="349"/>
        <v>84.87612</v>
      </c>
      <c r="U797" s="364">
        <f t="shared" ca="1" si="350"/>
        <v>0</v>
      </c>
      <c r="V797" s="359">
        <f t="shared" ca="1" si="351"/>
        <v>1.2264718938943815</v>
      </c>
      <c r="W797" s="357">
        <f t="shared" ca="1" si="352"/>
        <v>52.439303096067789</v>
      </c>
      <c r="X797" s="343"/>
      <c r="Y797" s="367" t="str">
        <f t="shared" ca="1" si="370"/>
        <v/>
      </c>
      <c r="Z797" s="368" t="str">
        <f t="shared" ca="1" si="371"/>
        <v/>
      </c>
      <c r="AA797" s="369" t="str">
        <f t="shared" ca="1" si="372"/>
        <v/>
      </c>
      <c r="AB797" s="344"/>
      <c r="AC797" s="363" t="e">
        <f t="shared" ca="1" si="373"/>
        <v>#N/A</v>
      </c>
      <c r="AD797" s="376" t="e">
        <f t="shared" ca="1" si="374"/>
        <v>#N/A</v>
      </c>
      <c r="AE797" s="377" t="e">
        <f t="shared" ca="1" si="353"/>
        <v>#N/A</v>
      </c>
      <c r="AF797" s="344"/>
      <c r="AG797" s="359">
        <f t="shared" ca="1" si="375"/>
        <v>3.6577980445241218</v>
      </c>
      <c r="AH797" s="357">
        <f t="shared" ca="1" si="376"/>
        <v>-6.0609052903195453</v>
      </c>
    </row>
    <row r="798" spans="1:34" x14ac:dyDescent="0.25">
      <c r="A798" s="402">
        <f t="shared" ca="1" si="354"/>
        <v>1E-4</v>
      </c>
      <c r="B798" s="357">
        <f t="shared" ca="1" si="355"/>
        <v>35.607800000000452</v>
      </c>
      <c r="C798" s="342"/>
      <c r="D798" s="359">
        <f t="shared" ca="1" si="356"/>
        <v>-0.82495922487271245</v>
      </c>
      <c r="E798" s="360">
        <f t="shared" ca="1" si="357"/>
        <v>-3.8054595249822674</v>
      </c>
      <c r="F798" s="357">
        <f t="shared" ca="1" si="358"/>
        <v>3.8938515532799722</v>
      </c>
      <c r="G798" s="359">
        <f t="shared" ca="1" si="359"/>
        <v>18.706822009697699</v>
      </c>
      <c r="H798" s="360">
        <f t="shared" ca="1" si="360"/>
        <v>-136.16028018659159</v>
      </c>
      <c r="I798" s="357">
        <f t="shared" ca="1" si="361"/>
        <v>137.43932148476881</v>
      </c>
      <c r="J798" s="359">
        <f t="shared" ca="1" si="362"/>
        <v>1009.0500868209435</v>
      </c>
      <c r="K798" s="360">
        <f t="shared" ca="1" si="363"/>
        <v>-12.021862141019737</v>
      </c>
      <c r="L798" s="357">
        <f t="shared" ca="1" si="348"/>
        <v>1009.1216987473272</v>
      </c>
      <c r="M798" s="359">
        <f t="shared" ca="1" si="364"/>
        <v>-1.4342628467458047</v>
      </c>
      <c r="N798" s="357">
        <f t="shared" ca="1" si="365"/>
        <v>-82.177207830953407</v>
      </c>
      <c r="O798" s="343"/>
      <c r="P798" s="363">
        <f t="shared" ca="1" si="366"/>
        <v>23</v>
      </c>
      <c r="Q798" s="357">
        <f t="shared" ca="1" si="367"/>
        <v>0</v>
      </c>
      <c r="R798" s="359">
        <f t="shared" ca="1" si="368"/>
        <v>0</v>
      </c>
      <c r="S798" s="360">
        <f t="shared" ca="1" si="369"/>
        <v>8.6519999999999992</v>
      </c>
      <c r="T798" s="357">
        <f t="shared" ca="1" si="349"/>
        <v>84.87612</v>
      </c>
      <c r="U798" s="364">
        <f t="shared" ca="1" si="350"/>
        <v>0</v>
      </c>
      <c r="V798" s="359">
        <f t="shared" ca="1" si="351"/>
        <v>1.2264735638613549</v>
      </c>
      <c r="W798" s="357">
        <f t="shared" ca="1" si="352"/>
        <v>52.439653619098095</v>
      </c>
      <c r="X798" s="343"/>
      <c r="Y798" s="367" t="str">
        <f t="shared" ca="1" si="370"/>
        <v/>
      </c>
      <c r="Z798" s="368" t="str">
        <f t="shared" ca="1" si="371"/>
        <v/>
      </c>
      <c r="AA798" s="369" t="str">
        <f t="shared" ca="1" si="372"/>
        <v/>
      </c>
      <c r="AB798" s="344"/>
      <c r="AC798" s="363" t="e">
        <f t="shared" ca="1" si="373"/>
        <v>#N/A</v>
      </c>
      <c r="AD798" s="376" t="e">
        <f t="shared" ca="1" si="374"/>
        <v>#N/A</v>
      </c>
      <c r="AE798" s="377" t="e">
        <f t="shared" ca="1" si="353"/>
        <v>#N/A</v>
      </c>
      <c r="AF798" s="344"/>
      <c r="AG798" s="359">
        <f t="shared" ca="1" si="375"/>
        <v>3.6577588280897402</v>
      </c>
      <c r="AH798" s="357">
        <f t="shared" ca="1" si="376"/>
        <v>-6.0609458039837953</v>
      </c>
    </row>
    <row r="799" spans="1:34" x14ac:dyDescent="0.25">
      <c r="A799" s="402">
        <f t="shared" ca="1" si="354"/>
        <v>1E-4</v>
      </c>
      <c r="B799" s="357">
        <f t="shared" ca="1" si="355"/>
        <v>35.607900000000456</v>
      </c>
      <c r="C799" s="342"/>
      <c r="D799" s="359">
        <f t="shared" ca="1" si="356"/>
        <v>-0.8249589056465273</v>
      </c>
      <c r="E799" s="360">
        <f t="shared" ca="1" si="357"/>
        <v>-3.805418587025394</v>
      </c>
      <c r="F799" s="357">
        <f t="shared" ca="1" si="358"/>
        <v>3.8938114770085961</v>
      </c>
      <c r="G799" s="359">
        <f t="shared" ca="1" si="359"/>
        <v>18.706739513807136</v>
      </c>
      <c r="H799" s="360">
        <f t="shared" ca="1" si="360"/>
        <v>-136.1606607284503</v>
      </c>
      <c r="I799" s="357">
        <f t="shared" ca="1" si="361"/>
        <v>137.43968725679485</v>
      </c>
      <c r="J799" s="359">
        <f t="shared" ca="1" si="362"/>
        <v>1009.0500868209435</v>
      </c>
      <c r="K799" s="360">
        <f t="shared" ca="1" si="363"/>
        <v>-12.03547818806549</v>
      </c>
      <c r="L799" s="357">
        <f t="shared" ca="1" si="348"/>
        <v>1009.1218610497788</v>
      </c>
      <c r="M799" s="359">
        <f t="shared" ca="1" si="364"/>
        <v>-1.4342638182526406</v>
      </c>
      <c r="N799" s="357">
        <f t="shared" ca="1" si="365"/>
        <v>-82.177263494194875</v>
      </c>
      <c r="O799" s="343"/>
      <c r="P799" s="363">
        <f t="shared" ca="1" si="366"/>
        <v>23</v>
      </c>
      <c r="Q799" s="357">
        <f t="shared" ca="1" si="367"/>
        <v>0</v>
      </c>
      <c r="R799" s="359">
        <f t="shared" ca="1" si="368"/>
        <v>0</v>
      </c>
      <c r="S799" s="360">
        <f t="shared" ca="1" si="369"/>
        <v>8.6519999999999992</v>
      </c>
      <c r="T799" s="357">
        <f t="shared" ca="1" si="349"/>
        <v>84.87612</v>
      </c>
      <c r="U799" s="364">
        <f t="shared" ca="1" si="350"/>
        <v>0</v>
      </c>
      <c r="V799" s="359">
        <f t="shared" ca="1" si="351"/>
        <v>1.2264752338352707</v>
      </c>
      <c r="W799" s="357">
        <f t="shared" ca="1" si="352"/>
        <v>52.440004140935599</v>
      </c>
      <c r="X799" s="343"/>
      <c r="Y799" s="367" t="str">
        <f t="shared" ca="1" si="370"/>
        <v/>
      </c>
      <c r="Z799" s="368" t="str">
        <f t="shared" ca="1" si="371"/>
        <v/>
      </c>
      <c r="AA799" s="369" t="str">
        <f t="shared" ca="1" si="372"/>
        <v/>
      </c>
      <c r="AB799" s="344"/>
      <c r="AC799" s="363" t="e">
        <f t="shared" ca="1" si="373"/>
        <v>#N/A</v>
      </c>
      <c r="AD799" s="376" t="e">
        <f t="shared" ca="1" si="374"/>
        <v>#N/A</v>
      </c>
      <c r="AE799" s="377" t="e">
        <f t="shared" ca="1" si="353"/>
        <v>#N/A</v>
      </c>
      <c r="AF799" s="344"/>
      <c r="AG799" s="359">
        <f t="shared" ca="1" si="375"/>
        <v>3.6577196117714239</v>
      </c>
      <c r="AH799" s="357">
        <f t="shared" ca="1" si="376"/>
        <v>-6.0609863175101824</v>
      </c>
    </row>
    <row r="800" spans="1:34" x14ac:dyDescent="0.25">
      <c r="A800" s="402">
        <f t="shared" ca="1" si="354"/>
        <v>1E-4</v>
      </c>
      <c r="B800" s="357">
        <f t="shared" ca="1" si="355"/>
        <v>35.608000000000459</v>
      </c>
      <c r="C800" s="342"/>
      <c r="D800" s="359">
        <f t="shared" ca="1" si="356"/>
        <v>-0.82495858637958697</v>
      </c>
      <c r="E800" s="360">
        <f t="shared" ca="1" si="357"/>
        <v>-3.8053776492078537</v>
      </c>
      <c r="F800" s="357">
        <f t="shared" ca="1" si="358"/>
        <v>3.8937714008827093</v>
      </c>
      <c r="G800" s="359">
        <f t="shared" ca="1" si="359"/>
        <v>18.706657017948498</v>
      </c>
      <c r="H800" s="360">
        <f t="shared" ca="1" si="360"/>
        <v>-136.16104126621522</v>
      </c>
      <c r="I800" s="357">
        <f t="shared" ca="1" si="361"/>
        <v>137.44005302489927</v>
      </c>
      <c r="J800" s="359">
        <f t="shared" ca="1" si="362"/>
        <v>1009.0500868209435</v>
      </c>
      <c r="K800" s="360">
        <f t="shared" ca="1" si="363"/>
        <v>-12.049094273165222</v>
      </c>
      <c r="L800" s="357">
        <f t="shared" ca="1" si="348"/>
        <v>1009.1220235363795</v>
      </c>
      <c r="M800" s="359">
        <f t="shared" ca="1" si="364"/>
        <v>-1.4342647897500211</v>
      </c>
      <c r="N800" s="357">
        <f t="shared" ca="1" si="365"/>
        <v>-82.177319156894583</v>
      </c>
      <c r="O800" s="343"/>
      <c r="P800" s="363">
        <f t="shared" ca="1" si="366"/>
        <v>23</v>
      </c>
      <c r="Q800" s="357">
        <f t="shared" ca="1" si="367"/>
        <v>0</v>
      </c>
      <c r="R800" s="359">
        <f t="shared" ca="1" si="368"/>
        <v>0</v>
      </c>
      <c r="S800" s="360">
        <f t="shared" ca="1" si="369"/>
        <v>8.6519999999999992</v>
      </c>
      <c r="T800" s="357">
        <f t="shared" ca="1" si="349"/>
        <v>84.87612</v>
      </c>
      <c r="U800" s="364">
        <f t="shared" ca="1" si="350"/>
        <v>0</v>
      </c>
      <c r="V800" s="359">
        <f t="shared" ca="1" si="351"/>
        <v>1.2264769038161287</v>
      </c>
      <c r="W800" s="357">
        <f t="shared" ca="1" si="352"/>
        <v>52.440354661580258</v>
      </c>
      <c r="X800" s="343"/>
      <c r="Y800" s="367" t="str">
        <f t="shared" ca="1" si="370"/>
        <v/>
      </c>
      <c r="Z800" s="368" t="str">
        <f t="shared" ca="1" si="371"/>
        <v/>
      </c>
      <c r="AA800" s="369" t="str">
        <f t="shared" ca="1" si="372"/>
        <v/>
      </c>
      <c r="AB800" s="344"/>
      <c r="AC800" s="363" t="e">
        <f t="shared" ca="1" si="373"/>
        <v>#N/A</v>
      </c>
      <c r="AD800" s="376" t="e">
        <f t="shared" ca="1" si="374"/>
        <v>#N/A</v>
      </c>
      <c r="AE800" s="377" t="e">
        <f t="shared" ca="1" si="353"/>
        <v>#N/A</v>
      </c>
      <c r="AF800" s="344"/>
      <c r="AG800" s="359">
        <f t="shared" ca="1" si="375"/>
        <v>3.657680395569173</v>
      </c>
      <c r="AH800" s="357">
        <f t="shared" ca="1" si="376"/>
        <v>-6.0610268308987063</v>
      </c>
    </row>
    <row r="801" spans="1:34" x14ac:dyDescent="0.25">
      <c r="A801" s="402">
        <f t="shared" ca="1" si="354"/>
        <v>1E-4</v>
      </c>
      <c r="B801" s="357">
        <f t="shared" ca="1" si="355"/>
        <v>35.608100000000462</v>
      </c>
      <c r="C801" s="342"/>
      <c r="D801" s="359">
        <f t="shared" ca="1" si="356"/>
        <v>-0.82495826707189335</v>
      </c>
      <c r="E801" s="360">
        <f t="shared" ca="1" si="357"/>
        <v>-3.8053367115296544</v>
      </c>
      <c r="F801" s="357">
        <f t="shared" ca="1" si="358"/>
        <v>3.8937313249023209</v>
      </c>
      <c r="G801" s="359">
        <f t="shared" ca="1" si="359"/>
        <v>18.706574522121791</v>
      </c>
      <c r="H801" s="360">
        <f t="shared" ca="1" si="360"/>
        <v>-136.16142179988637</v>
      </c>
      <c r="I801" s="357">
        <f t="shared" ca="1" si="361"/>
        <v>137.44041878908209</v>
      </c>
      <c r="J801" s="359">
        <f t="shared" ca="1" si="362"/>
        <v>1009.0500868209435</v>
      </c>
      <c r="K801" s="360">
        <f t="shared" ca="1" si="363"/>
        <v>-12.062710396318527</v>
      </c>
      <c r="L801" s="357">
        <f t="shared" ca="1" si="348"/>
        <v>1009.1221862071308</v>
      </c>
      <c r="M801" s="359">
        <f t="shared" ca="1" si="364"/>
        <v>-1.4342657612379466</v>
      </c>
      <c r="N801" s="357">
        <f t="shared" ca="1" si="365"/>
        <v>-82.177374819052559</v>
      </c>
      <c r="O801" s="343"/>
      <c r="P801" s="363">
        <f t="shared" ca="1" si="366"/>
        <v>23</v>
      </c>
      <c r="Q801" s="357">
        <f t="shared" ca="1" si="367"/>
        <v>0</v>
      </c>
      <c r="R801" s="359">
        <f t="shared" ca="1" si="368"/>
        <v>0</v>
      </c>
      <c r="S801" s="360">
        <f t="shared" ca="1" si="369"/>
        <v>8.6519999999999992</v>
      </c>
      <c r="T801" s="357">
        <f t="shared" ca="1" si="349"/>
        <v>84.87612</v>
      </c>
      <c r="U801" s="364">
        <f t="shared" ca="1" si="350"/>
        <v>0</v>
      </c>
      <c r="V801" s="359">
        <f t="shared" ca="1" si="351"/>
        <v>1.226478573803929</v>
      </c>
      <c r="W801" s="357">
        <f t="shared" ca="1" si="352"/>
        <v>52.440705181032079</v>
      </c>
      <c r="X801" s="343"/>
      <c r="Y801" s="367" t="str">
        <f t="shared" ca="1" si="370"/>
        <v/>
      </c>
      <c r="Z801" s="368" t="str">
        <f t="shared" ca="1" si="371"/>
        <v/>
      </c>
      <c r="AA801" s="369" t="str">
        <f t="shared" ca="1" si="372"/>
        <v/>
      </c>
      <c r="AB801" s="344"/>
      <c r="AC801" s="363" t="e">
        <f t="shared" ca="1" si="373"/>
        <v>#N/A</v>
      </c>
      <c r="AD801" s="376" t="e">
        <f t="shared" ca="1" si="374"/>
        <v>#N/A</v>
      </c>
      <c r="AE801" s="377" t="e">
        <f t="shared" ca="1" si="353"/>
        <v>#N/A</v>
      </c>
      <c r="AF801" s="344"/>
      <c r="AG801" s="359">
        <f t="shared" ca="1" si="375"/>
        <v>3.6576411794829946</v>
      </c>
      <c r="AH801" s="357">
        <f t="shared" ca="1" si="376"/>
        <v>-6.0610673441493601</v>
      </c>
    </row>
    <row r="802" spans="1:34" x14ac:dyDescent="0.25">
      <c r="A802" s="402">
        <f t="shared" ca="1" si="354"/>
        <v>1E-4</v>
      </c>
      <c r="B802" s="357">
        <f t="shared" ca="1" si="355"/>
        <v>35.608200000000465</v>
      </c>
      <c r="C802" s="342"/>
      <c r="D802" s="359">
        <f t="shared" ca="1" si="356"/>
        <v>-0.82495794772344677</v>
      </c>
      <c r="E802" s="360">
        <f t="shared" ca="1" si="357"/>
        <v>-3.8052957739907933</v>
      </c>
      <c r="F802" s="357">
        <f t="shared" ca="1" si="358"/>
        <v>3.8936912490674285</v>
      </c>
      <c r="G802" s="359">
        <f t="shared" ca="1" si="359"/>
        <v>18.70649202632702</v>
      </c>
      <c r="H802" s="360">
        <f t="shared" ca="1" si="360"/>
        <v>-136.16180232946377</v>
      </c>
      <c r="I802" s="357">
        <f t="shared" ca="1" si="361"/>
        <v>137.44078454934331</v>
      </c>
      <c r="J802" s="359">
        <f t="shared" ca="1" si="362"/>
        <v>1009.0500868209435</v>
      </c>
      <c r="K802" s="360">
        <f t="shared" ca="1" si="363"/>
        <v>-12.076326557524995</v>
      </c>
      <c r="L802" s="357">
        <f t="shared" ca="1" si="348"/>
        <v>1009.122349062034</v>
      </c>
      <c r="M802" s="359">
        <f t="shared" ca="1" si="364"/>
        <v>-1.4342667327164171</v>
      </c>
      <c r="N802" s="357">
        <f t="shared" ca="1" si="365"/>
        <v>-82.177430480668818</v>
      </c>
      <c r="O802" s="343"/>
      <c r="P802" s="363">
        <f t="shared" ca="1" si="366"/>
        <v>23</v>
      </c>
      <c r="Q802" s="357">
        <f t="shared" ca="1" si="367"/>
        <v>0</v>
      </c>
      <c r="R802" s="359">
        <f t="shared" ca="1" si="368"/>
        <v>0</v>
      </c>
      <c r="S802" s="360">
        <f t="shared" ca="1" si="369"/>
        <v>8.6519999999999992</v>
      </c>
      <c r="T802" s="357">
        <f t="shared" ca="1" si="349"/>
        <v>84.87612</v>
      </c>
      <c r="U802" s="364">
        <f t="shared" ca="1" si="350"/>
        <v>0</v>
      </c>
      <c r="V802" s="359">
        <f t="shared" ca="1" si="351"/>
        <v>1.2264802437986719</v>
      </c>
      <c r="W802" s="357">
        <f t="shared" ca="1" si="352"/>
        <v>52.441055699291041</v>
      </c>
      <c r="X802" s="343"/>
      <c r="Y802" s="367" t="str">
        <f t="shared" ca="1" si="370"/>
        <v/>
      </c>
      <c r="Z802" s="368" t="str">
        <f t="shared" ca="1" si="371"/>
        <v/>
      </c>
      <c r="AA802" s="369" t="str">
        <f t="shared" ca="1" si="372"/>
        <v/>
      </c>
      <c r="AB802" s="344"/>
      <c r="AC802" s="363" t="e">
        <f t="shared" ca="1" si="373"/>
        <v>#N/A</v>
      </c>
      <c r="AD802" s="376" t="e">
        <f t="shared" ca="1" si="374"/>
        <v>#N/A</v>
      </c>
      <c r="AE802" s="377" t="e">
        <f t="shared" ca="1" si="353"/>
        <v>#N/A</v>
      </c>
      <c r="AF802" s="344"/>
      <c r="AG802" s="359">
        <f t="shared" ca="1" si="375"/>
        <v>3.6576019635128869</v>
      </c>
      <c r="AH802" s="357">
        <f t="shared" ca="1" si="376"/>
        <v>-6.0611078572621455</v>
      </c>
    </row>
    <row r="803" spans="1:34" x14ac:dyDescent="0.25">
      <c r="A803" s="402">
        <f t="shared" ca="1" si="354"/>
        <v>1E-4</v>
      </c>
      <c r="B803" s="357">
        <f t="shared" ca="1" si="355"/>
        <v>35.608300000000469</v>
      </c>
      <c r="C803" s="342"/>
      <c r="D803" s="359">
        <f t="shared" ca="1" si="356"/>
        <v>-0.82495762833424746</v>
      </c>
      <c r="E803" s="360">
        <f t="shared" ca="1" si="357"/>
        <v>-3.8052548365912724</v>
      </c>
      <c r="F803" s="357">
        <f t="shared" ca="1" si="358"/>
        <v>3.8936511733780335</v>
      </c>
      <c r="G803" s="359">
        <f t="shared" ca="1" si="359"/>
        <v>18.706409530564187</v>
      </c>
      <c r="H803" s="360">
        <f t="shared" ca="1" si="360"/>
        <v>-136.16218285494742</v>
      </c>
      <c r="I803" s="357">
        <f t="shared" ca="1" si="361"/>
        <v>137.4411503056829</v>
      </c>
      <c r="J803" s="359">
        <f t="shared" ca="1" si="362"/>
        <v>1009.0500868209435</v>
      </c>
      <c r="K803" s="360">
        <f t="shared" ca="1" si="363"/>
        <v>-12.089942756784216</v>
      </c>
      <c r="L803" s="357">
        <f t="shared" ca="1" si="348"/>
        <v>1009.1225121010907</v>
      </c>
      <c r="M803" s="359">
        <f t="shared" ca="1" si="364"/>
        <v>-1.4342677041854328</v>
      </c>
      <c r="N803" s="357">
        <f t="shared" ca="1" si="365"/>
        <v>-82.177486141743344</v>
      </c>
      <c r="O803" s="343"/>
      <c r="P803" s="363">
        <f t="shared" ca="1" si="366"/>
        <v>23</v>
      </c>
      <c r="Q803" s="357">
        <f t="shared" ca="1" si="367"/>
        <v>0</v>
      </c>
      <c r="R803" s="359">
        <f t="shared" ca="1" si="368"/>
        <v>0</v>
      </c>
      <c r="S803" s="360">
        <f t="shared" ca="1" si="369"/>
        <v>8.6519999999999992</v>
      </c>
      <c r="T803" s="357">
        <f t="shared" ca="1" si="349"/>
        <v>84.87612</v>
      </c>
      <c r="U803" s="364">
        <f t="shared" ca="1" si="350"/>
        <v>0</v>
      </c>
      <c r="V803" s="359">
        <f t="shared" ca="1" si="351"/>
        <v>1.2264819138003573</v>
      </c>
      <c r="W803" s="357">
        <f t="shared" ca="1" si="352"/>
        <v>52.44140621635708</v>
      </c>
      <c r="X803" s="343"/>
      <c r="Y803" s="367" t="str">
        <f t="shared" ca="1" si="370"/>
        <v/>
      </c>
      <c r="Z803" s="368" t="str">
        <f t="shared" ca="1" si="371"/>
        <v/>
      </c>
      <c r="AA803" s="369" t="str">
        <f t="shared" ca="1" si="372"/>
        <v/>
      </c>
      <c r="AB803" s="344"/>
      <c r="AC803" s="363" t="e">
        <f t="shared" ca="1" si="373"/>
        <v>#N/A</v>
      </c>
      <c r="AD803" s="376" t="e">
        <f t="shared" ca="1" si="374"/>
        <v>#N/A</v>
      </c>
      <c r="AE803" s="377" t="e">
        <f t="shared" ca="1" si="353"/>
        <v>#N/A</v>
      </c>
      <c r="AF803" s="344"/>
      <c r="AG803" s="359">
        <f t="shared" ca="1" si="375"/>
        <v>3.6575627476588535</v>
      </c>
      <c r="AH803" s="357">
        <f t="shared" ca="1" si="376"/>
        <v>-6.0611483702370608</v>
      </c>
    </row>
    <row r="804" spans="1:34" x14ac:dyDescent="0.25">
      <c r="A804" s="402">
        <f t="shared" ca="1" si="354"/>
        <v>1E-4</v>
      </c>
      <c r="B804" s="357">
        <f t="shared" ca="1" si="355"/>
        <v>35.608400000000472</v>
      </c>
      <c r="C804" s="342"/>
      <c r="D804" s="359">
        <f t="shared" ca="1" si="356"/>
        <v>-0.82495730890429553</v>
      </c>
      <c r="E804" s="360">
        <f t="shared" ca="1" si="357"/>
        <v>-3.8052138993311013</v>
      </c>
      <c r="F804" s="357">
        <f t="shared" ca="1" si="358"/>
        <v>3.8936110978341456</v>
      </c>
      <c r="G804" s="359">
        <f t="shared" ca="1" si="359"/>
        <v>18.706327034833297</v>
      </c>
      <c r="H804" s="360">
        <f t="shared" ca="1" si="360"/>
        <v>-136.16256337633735</v>
      </c>
      <c r="I804" s="357">
        <f t="shared" ca="1" si="361"/>
        <v>137.44151605810094</v>
      </c>
      <c r="J804" s="359">
        <f t="shared" ca="1" si="362"/>
        <v>1009.0500868209435</v>
      </c>
      <c r="K804" s="360">
        <f t="shared" ca="1" si="363"/>
        <v>-12.103558994095781</v>
      </c>
      <c r="L804" s="357">
        <f t="shared" ca="1" si="348"/>
        <v>1009.1226753243023</v>
      </c>
      <c r="M804" s="359">
        <f t="shared" ca="1" si="364"/>
        <v>-1.4342686756449938</v>
      </c>
      <c r="N804" s="357">
        <f t="shared" ca="1" si="365"/>
        <v>-82.177541802276153</v>
      </c>
      <c r="O804" s="343"/>
      <c r="P804" s="363">
        <f t="shared" ca="1" si="366"/>
        <v>23</v>
      </c>
      <c r="Q804" s="357">
        <f t="shared" ca="1" si="367"/>
        <v>0</v>
      </c>
      <c r="R804" s="359">
        <f t="shared" ca="1" si="368"/>
        <v>0</v>
      </c>
      <c r="S804" s="360">
        <f t="shared" ca="1" si="369"/>
        <v>8.6519999999999992</v>
      </c>
      <c r="T804" s="357">
        <f t="shared" ca="1" si="349"/>
        <v>84.87612</v>
      </c>
      <c r="U804" s="364">
        <f t="shared" ca="1" si="350"/>
        <v>0</v>
      </c>
      <c r="V804" s="359">
        <f t="shared" ca="1" si="351"/>
        <v>1.2264835838089845</v>
      </c>
      <c r="W804" s="357">
        <f t="shared" ca="1" si="352"/>
        <v>52.441756732230225</v>
      </c>
      <c r="X804" s="343"/>
      <c r="Y804" s="367" t="str">
        <f t="shared" ca="1" si="370"/>
        <v/>
      </c>
      <c r="Z804" s="368" t="str">
        <f t="shared" ca="1" si="371"/>
        <v/>
      </c>
      <c r="AA804" s="369" t="str">
        <f t="shared" ca="1" si="372"/>
        <v/>
      </c>
      <c r="AB804" s="344"/>
      <c r="AC804" s="363" t="e">
        <f t="shared" ca="1" si="373"/>
        <v>#N/A</v>
      </c>
      <c r="AD804" s="376" t="e">
        <f t="shared" ca="1" si="374"/>
        <v>#N/A</v>
      </c>
      <c r="AE804" s="377" t="e">
        <f t="shared" ca="1" si="353"/>
        <v>#N/A</v>
      </c>
      <c r="AF804" s="344"/>
      <c r="AG804" s="359">
        <f t="shared" ca="1" si="375"/>
        <v>3.6575235319209032</v>
      </c>
      <c r="AH804" s="357">
        <f t="shared" ca="1" si="376"/>
        <v>-6.061188883074097</v>
      </c>
    </row>
    <row r="805" spans="1:34" x14ac:dyDescent="0.25">
      <c r="A805" s="402">
        <f t="shared" ca="1" si="354"/>
        <v>1E-4</v>
      </c>
      <c r="B805" s="357">
        <f t="shared" ca="1" si="355"/>
        <v>35.608500000000475</v>
      </c>
      <c r="C805" s="342"/>
      <c r="D805" s="359">
        <f t="shared" ca="1" si="356"/>
        <v>-0.82495698943359197</v>
      </c>
      <c r="E805" s="360">
        <f t="shared" ca="1" si="357"/>
        <v>-3.8051729622102766</v>
      </c>
      <c r="F805" s="357">
        <f t="shared" ca="1" si="358"/>
        <v>3.8935710224357623</v>
      </c>
      <c r="G805" s="359">
        <f t="shared" ca="1" si="359"/>
        <v>18.706244539134353</v>
      </c>
      <c r="H805" s="360">
        <f t="shared" ca="1" si="360"/>
        <v>-136.16294389363355</v>
      </c>
      <c r="I805" s="357">
        <f t="shared" ca="1" si="361"/>
        <v>137.44188180659742</v>
      </c>
      <c r="J805" s="359">
        <f t="shared" ca="1" si="362"/>
        <v>1009.0500868209435</v>
      </c>
      <c r="K805" s="360">
        <f t="shared" ca="1" si="363"/>
        <v>-12.117175269459279</v>
      </c>
      <c r="L805" s="357">
        <f t="shared" ca="1" si="348"/>
        <v>1009.1228387316702</v>
      </c>
      <c r="M805" s="359">
        <f t="shared" ca="1" si="364"/>
        <v>-1.4342696470951004</v>
      </c>
      <c r="N805" s="357">
        <f t="shared" ca="1" si="365"/>
        <v>-82.177597462267272</v>
      </c>
      <c r="O805" s="343"/>
      <c r="P805" s="363">
        <f t="shared" ca="1" si="366"/>
        <v>23</v>
      </c>
      <c r="Q805" s="357">
        <f t="shared" ca="1" si="367"/>
        <v>0</v>
      </c>
      <c r="R805" s="359">
        <f t="shared" ca="1" si="368"/>
        <v>0</v>
      </c>
      <c r="S805" s="360">
        <f t="shared" ca="1" si="369"/>
        <v>8.6519999999999992</v>
      </c>
      <c r="T805" s="357">
        <f t="shared" ca="1" si="349"/>
        <v>84.87612</v>
      </c>
      <c r="U805" s="364">
        <f t="shared" ca="1" si="350"/>
        <v>0</v>
      </c>
      <c r="V805" s="359">
        <f t="shared" ca="1" si="351"/>
        <v>1.2264852538245548</v>
      </c>
      <c r="W805" s="357">
        <f t="shared" ca="1" si="352"/>
        <v>52.44210724691046</v>
      </c>
      <c r="X805" s="343"/>
      <c r="Y805" s="367" t="str">
        <f t="shared" ca="1" si="370"/>
        <v/>
      </c>
      <c r="Z805" s="368" t="str">
        <f t="shared" ca="1" si="371"/>
        <v/>
      </c>
      <c r="AA805" s="369" t="str">
        <f t="shared" ca="1" si="372"/>
        <v/>
      </c>
      <c r="AB805" s="344"/>
      <c r="AC805" s="363" t="e">
        <f t="shared" ca="1" si="373"/>
        <v>#N/A</v>
      </c>
      <c r="AD805" s="376" t="e">
        <f t="shared" ca="1" si="374"/>
        <v>#N/A</v>
      </c>
      <c r="AE805" s="377" t="e">
        <f t="shared" ca="1" si="353"/>
        <v>#N/A</v>
      </c>
      <c r="AF805" s="344"/>
      <c r="AG805" s="359">
        <f t="shared" ca="1" si="375"/>
        <v>3.6574843162990307</v>
      </c>
      <c r="AH805" s="357">
        <f t="shared" ca="1" si="376"/>
        <v>-6.0612293957732577</v>
      </c>
    </row>
    <row r="806" spans="1:34" x14ac:dyDescent="0.25">
      <c r="A806" s="402">
        <f t="shared" ca="1" si="354"/>
        <v>1E-4</v>
      </c>
      <c r="B806" s="357">
        <f t="shared" ca="1" si="355"/>
        <v>35.608600000000479</v>
      </c>
      <c r="C806" s="342"/>
      <c r="D806" s="359">
        <f t="shared" ca="1" si="356"/>
        <v>-0.82495666992213679</v>
      </c>
      <c r="E806" s="360">
        <f t="shared" ca="1" si="357"/>
        <v>-3.8051320252287972</v>
      </c>
      <c r="F806" s="357">
        <f t="shared" ca="1" si="358"/>
        <v>3.8935309471828816</v>
      </c>
      <c r="G806" s="359">
        <f t="shared" ca="1" si="359"/>
        <v>18.706162043467362</v>
      </c>
      <c r="H806" s="360">
        <f t="shared" ca="1" si="360"/>
        <v>-136.16332440683607</v>
      </c>
      <c r="I806" s="357">
        <f t="shared" ca="1" si="361"/>
        <v>137.44224755117233</v>
      </c>
      <c r="J806" s="359">
        <f t="shared" ca="1" si="362"/>
        <v>1009.0500868209435</v>
      </c>
      <c r="K806" s="360">
        <f t="shared" ca="1" si="363"/>
        <v>-12.130791582874302</v>
      </c>
      <c r="L806" s="357">
        <f t="shared" ca="1" si="348"/>
        <v>1009.1230023231959</v>
      </c>
      <c r="M806" s="359">
        <f t="shared" ca="1" si="364"/>
        <v>-1.4342706185357528</v>
      </c>
      <c r="N806" s="357">
        <f t="shared" ca="1" si="365"/>
        <v>-82.177653121716702</v>
      </c>
      <c r="O806" s="343"/>
      <c r="P806" s="363">
        <f t="shared" ca="1" si="366"/>
        <v>23</v>
      </c>
      <c r="Q806" s="357">
        <f t="shared" ca="1" si="367"/>
        <v>0</v>
      </c>
      <c r="R806" s="359">
        <f t="shared" ca="1" si="368"/>
        <v>0</v>
      </c>
      <c r="S806" s="360">
        <f t="shared" ca="1" si="369"/>
        <v>8.6519999999999992</v>
      </c>
      <c r="T806" s="357">
        <f t="shared" ca="1" si="349"/>
        <v>84.87612</v>
      </c>
      <c r="U806" s="364">
        <f t="shared" ca="1" si="350"/>
        <v>0</v>
      </c>
      <c r="V806" s="359">
        <f t="shared" ca="1" si="351"/>
        <v>1.2264869238470664</v>
      </c>
      <c r="W806" s="357">
        <f t="shared" ca="1" si="352"/>
        <v>52.442457760397694</v>
      </c>
      <c r="X806" s="343"/>
      <c r="Y806" s="367" t="str">
        <f t="shared" ca="1" si="370"/>
        <v/>
      </c>
      <c r="Z806" s="368" t="str">
        <f t="shared" ca="1" si="371"/>
        <v/>
      </c>
      <c r="AA806" s="369" t="str">
        <f t="shared" ca="1" si="372"/>
        <v/>
      </c>
      <c r="AB806" s="344"/>
      <c r="AC806" s="363" t="e">
        <f t="shared" ca="1" si="373"/>
        <v>#N/A</v>
      </c>
      <c r="AD806" s="376" t="e">
        <f t="shared" ca="1" si="374"/>
        <v>#N/A</v>
      </c>
      <c r="AE806" s="377" t="e">
        <f t="shared" ca="1" si="353"/>
        <v>#N/A</v>
      </c>
      <c r="AF806" s="344"/>
      <c r="AG806" s="359">
        <f t="shared" ca="1" si="375"/>
        <v>3.6574451007932414</v>
      </c>
      <c r="AH806" s="357">
        <f t="shared" ca="1" si="376"/>
        <v>-6.0612699083345429</v>
      </c>
    </row>
    <row r="807" spans="1:34" x14ac:dyDescent="0.25">
      <c r="A807" s="402">
        <f t="shared" ca="1" si="354"/>
        <v>1E-4</v>
      </c>
      <c r="B807" s="357">
        <f t="shared" ca="1" si="355"/>
        <v>35.608700000000482</v>
      </c>
      <c r="C807" s="342"/>
      <c r="D807" s="359">
        <f t="shared" ca="1" si="356"/>
        <v>-0.82495635036992843</v>
      </c>
      <c r="E807" s="360">
        <f t="shared" ca="1" si="357"/>
        <v>-3.8050910883866758</v>
      </c>
      <c r="F807" s="357">
        <f t="shared" ca="1" si="358"/>
        <v>3.893490872075517</v>
      </c>
      <c r="G807" s="359">
        <f t="shared" ca="1" si="359"/>
        <v>18.706079547832324</v>
      </c>
      <c r="H807" s="360">
        <f t="shared" ca="1" si="360"/>
        <v>-136.16370491594492</v>
      </c>
      <c r="I807" s="357">
        <f t="shared" ca="1" si="361"/>
        <v>137.44261329182572</v>
      </c>
      <c r="J807" s="359">
        <f t="shared" ca="1" si="362"/>
        <v>1009.0500868209435</v>
      </c>
      <c r="K807" s="360">
        <f t="shared" ca="1" si="363"/>
        <v>-12.144407934340441</v>
      </c>
      <c r="L807" s="357">
        <f t="shared" ca="1" si="348"/>
        <v>1009.1231660988808</v>
      </c>
      <c r="M807" s="359">
        <f t="shared" ca="1" si="364"/>
        <v>-1.4342715899669509</v>
      </c>
      <c r="N807" s="357">
        <f t="shared" ca="1" si="365"/>
        <v>-82.177708780624442</v>
      </c>
      <c r="O807" s="343"/>
      <c r="P807" s="363">
        <f t="shared" ca="1" si="366"/>
        <v>23</v>
      </c>
      <c r="Q807" s="357">
        <f t="shared" ca="1" si="367"/>
        <v>0</v>
      </c>
      <c r="R807" s="359">
        <f t="shared" ca="1" si="368"/>
        <v>0</v>
      </c>
      <c r="S807" s="360">
        <f t="shared" ca="1" si="369"/>
        <v>8.6519999999999992</v>
      </c>
      <c r="T807" s="357">
        <f t="shared" ca="1" si="349"/>
        <v>84.87612</v>
      </c>
      <c r="U807" s="364">
        <f t="shared" ca="1" si="350"/>
        <v>0</v>
      </c>
      <c r="V807" s="359">
        <f t="shared" ca="1" si="351"/>
        <v>1.2264885938765211</v>
      </c>
      <c r="W807" s="357">
        <f t="shared" ca="1" si="352"/>
        <v>52.44280827269202</v>
      </c>
      <c r="X807" s="343"/>
      <c r="Y807" s="367" t="str">
        <f t="shared" ca="1" si="370"/>
        <v/>
      </c>
      <c r="Z807" s="368" t="str">
        <f t="shared" ca="1" si="371"/>
        <v/>
      </c>
      <c r="AA807" s="369" t="str">
        <f t="shared" ca="1" si="372"/>
        <v/>
      </c>
      <c r="AB807" s="344"/>
      <c r="AC807" s="363" t="e">
        <f t="shared" ca="1" si="373"/>
        <v>#N/A</v>
      </c>
      <c r="AD807" s="376" t="e">
        <f t="shared" ca="1" si="374"/>
        <v>#N/A</v>
      </c>
      <c r="AE807" s="377" t="e">
        <f t="shared" ca="1" si="353"/>
        <v>#N/A</v>
      </c>
      <c r="AF807" s="344"/>
      <c r="AG807" s="359">
        <f t="shared" ca="1" si="375"/>
        <v>3.6574058854035423</v>
      </c>
      <c r="AH807" s="357">
        <f t="shared" ca="1" si="376"/>
        <v>-6.0613104207579402</v>
      </c>
    </row>
    <row r="808" spans="1:34" x14ac:dyDescent="0.25">
      <c r="A808" s="402">
        <f t="shared" ca="1" si="354"/>
        <v>1E-4</v>
      </c>
      <c r="B808" s="357">
        <f t="shared" ca="1" si="355"/>
        <v>35.608800000000485</v>
      </c>
      <c r="C808" s="342"/>
      <c r="D808" s="359">
        <f t="shared" ca="1" si="356"/>
        <v>-0.82495603077697022</v>
      </c>
      <c r="E808" s="360">
        <f t="shared" ca="1" si="357"/>
        <v>-3.8050501516839006</v>
      </c>
      <c r="F808" s="357">
        <f t="shared" ca="1" si="358"/>
        <v>3.8934507971136565</v>
      </c>
      <c r="G808" s="359">
        <f t="shared" ca="1" si="359"/>
        <v>18.705997052229247</v>
      </c>
      <c r="H808" s="360">
        <f t="shared" ca="1" si="360"/>
        <v>-136.16408542096008</v>
      </c>
      <c r="I808" s="357">
        <f t="shared" ca="1" si="361"/>
        <v>137.44297902855757</v>
      </c>
      <c r="J808" s="359">
        <f t="shared" ca="1" si="362"/>
        <v>1009.0500868209435</v>
      </c>
      <c r="K808" s="360">
        <f t="shared" ca="1" si="363"/>
        <v>-12.158024323857285</v>
      </c>
      <c r="L808" s="357">
        <f t="shared" ca="1" si="348"/>
        <v>1009.1233300587263</v>
      </c>
      <c r="M808" s="359">
        <f t="shared" ca="1" si="364"/>
        <v>-1.4342725613886949</v>
      </c>
      <c r="N808" s="357">
        <f t="shared" ca="1" si="365"/>
        <v>-82.177764438990494</v>
      </c>
      <c r="O808" s="343"/>
      <c r="P808" s="363">
        <f t="shared" ca="1" si="366"/>
        <v>23</v>
      </c>
      <c r="Q808" s="357">
        <f t="shared" ca="1" si="367"/>
        <v>0</v>
      </c>
      <c r="R808" s="359">
        <f t="shared" ca="1" si="368"/>
        <v>0</v>
      </c>
      <c r="S808" s="360">
        <f t="shared" ca="1" si="369"/>
        <v>8.6519999999999992</v>
      </c>
      <c r="T808" s="357">
        <f t="shared" ca="1" si="349"/>
        <v>84.87612</v>
      </c>
      <c r="U808" s="364">
        <f t="shared" ca="1" si="350"/>
        <v>0</v>
      </c>
      <c r="V808" s="359">
        <f t="shared" ca="1" si="351"/>
        <v>1.2264902639129178</v>
      </c>
      <c r="W808" s="357">
        <f t="shared" ca="1" si="352"/>
        <v>52.443158783793329</v>
      </c>
      <c r="X808" s="343"/>
      <c r="Y808" s="367" t="str">
        <f t="shared" ca="1" si="370"/>
        <v/>
      </c>
      <c r="Z808" s="368" t="str">
        <f t="shared" ca="1" si="371"/>
        <v/>
      </c>
      <c r="AA808" s="369" t="str">
        <f t="shared" ca="1" si="372"/>
        <v/>
      </c>
      <c r="AB808" s="344"/>
      <c r="AC808" s="363" t="e">
        <f t="shared" ca="1" si="373"/>
        <v>#N/A</v>
      </c>
      <c r="AD808" s="376" t="e">
        <f t="shared" ca="1" si="374"/>
        <v>#N/A</v>
      </c>
      <c r="AE808" s="377" t="e">
        <f t="shared" ca="1" si="353"/>
        <v>#N/A</v>
      </c>
      <c r="AF808" s="344"/>
      <c r="AG808" s="359">
        <f t="shared" ca="1" si="375"/>
        <v>3.657366670129929</v>
      </c>
      <c r="AH808" s="357">
        <f t="shared" ca="1" si="376"/>
        <v>-6.0613509330434612</v>
      </c>
    </row>
    <row r="809" spans="1:34" x14ac:dyDescent="0.25">
      <c r="A809" s="402">
        <f t="shared" ca="1" si="354"/>
        <v>1E-4</v>
      </c>
      <c r="B809" s="357">
        <f t="shared" ca="1" si="355"/>
        <v>35.608900000000489</v>
      </c>
      <c r="C809" s="342"/>
      <c r="D809" s="359">
        <f t="shared" ca="1" si="356"/>
        <v>-0.82495571114326172</v>
      </c>
      <c r="E809" s="360">
        <f t="shared" ca="1" si="357"/>
        <v>-3.8050092151204877</v>
      </c>
      <c r="F809" s="357">
        <f t="shared" ca="1" si="358"/>
        <v>3.8934107222973169</v>
      </c>
      <c r="G809" s="359">
        <f t="shared" ca="1" si="359"/>
        <v>18.705914556658133</v>
      </c>
      <c r="H809" s="360">
        <f t="shared" ca="1" si="360"/>
        <v>-136.1644659218816</v>
      </c>
      <c r="I809" s="357">
        <f t="shared" ca="1" si="361"/>
        <v>137.44334476136794</v>
      </c>
      <c r="J809" s="359">
        <f t="shared" ca="1" si="362"/>
        <v>1009.0500868209435</v>
      </c>
      <c r="K809" s="360">
        <f t="shared" ca="1" si="363"/>
        <v>-12.171640751424427</v>
      </c>
      <c r="L809" s="357">
        <f t="shared" ca="1" si="348"/>
        <v>1009.123494202734</v>
      </c>
      <c r="M809" s="359">
        <f t="shared" ca="1" si="364"/>
        <v>-1.434273532800985</v>
      </c>
      <c r="N809" s="357">
        <f t="shared" ca="1" si="365"/>
        <v>-82.177820096814884</v>
      </c>
      <c r="O809" s="343"/>
      <c r="P809" s="363">
        <f t="shared" ca="1" si="366"/>
        <v>23</v>
      </c>
      <c r="Q809" s="357">
        <f t="shared" ca="1" si="367"/>
        <v>0</v>
      </c>
      <c r="R809" s="359">
        <f t="shared" ca="1" si="368"/>
        <v>0</v>
      </c>
      <c r="S809" s="360">
        <f t="shared" ca="1" si="369"/>
        <v>8.6519999999999992</v>
      </c>
      <c r="T809" s="357">
        <f t="shared" ca="1" si="349"/>
        <v>84.87612</v>
      </c>
      <c r="U809" s="364">
        <f t="shared" ca="1" si="350"/>
        <v>0</v>
      </c>
      <c r="V809" s="359">
        <f t="shared" ca="1" si="351"/>
        <v>1.2264919339562566</v>
      </c>
      <c r="W809" s="357">
        <f t="shared" ca="1" si="352"/>
        <v>52.443509293701645</v>
      </c>
      <c r="X809" s="343"/>
      <c r="Y809" s="367" t="str">
        <f t="shared" ca="1" si="370"/>
        <v/>
      </c>
      <c r="Z809" s="368" t="str">
        <f t="shared" ca="1" si="371"/>
        <v/>
      </c>
      <c r="AA809" s="369" t="str">
        <f t="shared" ca="1" si="372"/>
        <v/>
      </c>
      <c r="AB809" s="344"/>
      <c r="AC809" s="363" t="e">
        <f t="shared" ca="1" si="373"/>
        <v>#N/A</v>
      </c>
      <c r="AD809" s="376" t="e">
        <f t="shared" ca="1" si="374"/>
        <v>#N/A</v>
      </c>
      <c r="AE809" s="377" t="e">
        <f t="shared" ca="1" si="353"/>
        <v>#N/A</v>
      </c>
      <c r="AF809" s="344"/>
      <c r="AG809" s="359">
        <f t="shared" ca="1" si="375"/>
        <v>3.6573274549724077</v>
      </c>
      <c r="AH809" s="357">
        <f t="shared" ca="1" si="376"/>
        <v>-6.0613914451910924</v>
      </c>
    </row>
    <row r="810" spans="1:34" x14ac:dyDescent="0.25">
      <c r="A810" s="402">
        <f t="shared" ca="1" si="354"/>
        <v>1E-4</v>
      </c>
      <c r="B810" s="357">
        <f t="shared" ca="1" si="355"/>
        <v>35.609000000000492</v>
      </c>
      <c r="C810" s="342"/>
      <c r="D810" s="359">
        <f t="shared" ca="1" si="356"/>
        <v>-0.82495539146880237</v>
      </c>
      <c r="E810" s="360">
        <f t="shared" ca="1" si="357"/>
        <v>-3.8049682786964301</v>
      </c>
      <c r="F810" s="357">
        <f t="shared" ca="1" si="358"/>
        <v>3.8933706476264907</v>
      </c>
      <c r="G810" s="359">
        <f t="shared" ca="1" si="359"/>
        <v>18.705832061118986</v>
      </c>
      <c r="H810" s="360">
        <f t="shared" ca="1" si="360"/>
        <v>-136.16484641870946</v>
      </c>
      <c r="I810" s="357">
        <f t="shared" ca="1" si="361"/>
        <v>137.44371049025676</v>
      </c>
      <c r="J810" s="359">
        <f t="shared" ca="1" si="362"/>
        <v>1009.0500868209435</v>
      </c>
      <c r="K810" s="360">
        <f t="shared" ca="1" si="363"/>
        <v>-12.185257217041457</v>
      </c>
      <c r="L810" s="357">
        <f t="shared" ca="1" si="348"/>
        <v>1009.1236585309052</v>
      </c>
      <c r="M810" s="359">
        <f t="shared" ca="1" si="364"/>
        <v>-1.4342745042038212</v>
      </c>
      <c r="N810" s="357">
        <f t="shared" ca="1" si="365"/>
        <v>-82.177875754097599</v>
      </c>
      <c r="O810" s="343"/>
      <c r="P810" s="363">
        <f t="shared" ca="1" si="366"/>
        <v>23</v>
      </c>
      <c r="Q810" s="357">
        <f t="shared" ca="1" si="367"/>
        <v>0</v>
      </c>
      <c r="R810" s="359">
        <f t="shared" ca="1" si="368"/>
        <v>0</v>
      </c>
      <c r="S810" s="360">
        <f t="shared" ca="1" si="369"/>
        <v>8.6519999999999992</v>
      </c>
      <c r="T810" s="357">
        <f t="shared" ca="1" si="349"/>
        <v>84.87612</v>
      </c>
      <c r="U810" s="364">
        <f t="shared" ca="1" si="350"/>
        <v>0</v>
      </c>
      <c r="V810" s="359">
        <f t="shared" ca="1" si="351"/>
        <v>1.2264936040065377</v>
      </c>
      <c r="W810" s="357">
        <f t="shared" ca="1" si="352"/>
        <v>52.443859802416917</v>
      </c>
      <c r="X810" s="343"/>
      <c r="Y810" s="367" t="str">
        <f t="shared" ca="1" si="370"/>
        <v/>
      </c>
      <c r="Z810" s="368" t="str">
        <f t="shared" ca="1" si="371"/>
        <v/>
      </c>
      <c r="AA810" s="369" t="str">
        <f t="shared" ca="1" si="372"/>
        <v/>
      </c>
      <c r="AB810" s="344"/>
      <c r="AC810" s="363" t="e">
        <f t="shared" ca="1" si="373"/>
        <v>#N/A</v>
      </c>
      <c r="AD810" s="376" t="e">
        <f t="shared" ca="1" si="374"/>
        <v>#N/A</v>
      </c>
      <c r="AE810" s="377" t="e">
        <f t="shared" ca="1" si="353"/>
        <v>#N/A</v>
      </c>
      <c r="AF810" s="344"/>
      <c r="AG810" s="359">
        <f t="shared" ca="1" si="375"/>
        <v>3.6572882399309821</v>
      </c>
      <c r="AH810" s="357">
        <f t="shared" ca="1" si="376"/>
        <v>-6.0614319572008375</v>
      </c>
    </row>
    <row r="811" spans="1:34" x14ac:dyDescent="0.25">
      <c r="A811" s="402">
        <f t="shared" ca="1" si="354"/>
        <v>1E-4</v>
      </c>
      <c r="B811" s="357">
        <f t="shared" ca="1" si="355"/>
        <v>35.609100000000495</v>
      </c>
      <c r="C811" s="342"/>
      <c r="D811" s="359">
        <f t="shared" ca="1" si="356"/>
        <v>-0.82495507175359428</v>
      </c>
      <c r="E811" s="360">
        <f t="shared" ca="1" si="357"/>
        <v>-3.8049273424117338</v>
      </c>
      <c r="F811" s="357">
        <f t="shared" ca="1" si="358"/>
        <v>3.8933305731011845</v>
      </c>
      <c r="G811" s="359">
        <f t="shared" ca="1" si="359"/>
        <v>18.705749565611811</v>
      </c>
      <c r="H811" s="360">
        <f t="shared" ca="1" si="360"/>
        <v>-136.16522691144371</v>
      </c>
      <c r="I811" s="357">
        <f t="shared" ca="1" si="361"/>
        <v>137.44407621522413</v>
      </c>
      <c r="J811" s="359">
        <f t="shared" ca="1" si="362"/>
        <v>1009.0500868209435</v>
      </c>
      <c r="K811" s="360">
        <f t="shared" ca="1" si="363"/>
        <v>-12.198873720707965</v>
      </c>
      <c r="L811" s="357">
        <f t="shared" ca="1" si="348"/>
        <v>1009.1238230432416</v>
      </c>
      <c r="M811" s="359">
        <f t="shared" ca="1" si="364"/>
        <v>-1.4342754755972038</v>
      </c>
      <c r="N811" s="357">
        <f t="shared" ca="1" si="365"/>
        <v>-82.177931410838681</v>
      </c>
      <c r="O811" s="343"/>
      <c r="P811" s="363">
        <f t="shared" ca="1" si="366"/>
        <v>23</v>
      </c>
      <c r="Q811" s="357">
        <f t="shared" ca="1" si="367"/>
        <v>0</v>
      </c>
      <c r="R811" s="359">
        <f t="shared" ca="1" si="368"/>
        <v>0</v>
      </c>
      <c r="S811" s="360">
        <f t="shared" ca="1" si="369"/>
        <v>8.6519999999999992</v>
      </c>
      <c r="T811" s="357">
        <f t="shared" ca="1" si="349"/>
        <v>84.87612</v>
      </c>
      <c r="U811" s="364">
        <f t="shared" ca="1" si="350"/>
        <v>0</v>
      </c>
      <c r="V811" s="359">
        <f t="shared" ca="1" si="351"/>
        <v>1.2264952740637607</v>
      </c>
      <c r="W811" s="357">
        <f t="shared" ca="1" si="352"/>
        <v>52.44421030993913</v>
      </c>
      <c r="X811" s="343"/>
      <c r="Y811" s="367" t="str">
        <f t="shared" ca="1" si="370"/>
        <v/>
      </c>
      <c r="Z811" s="368" t="str">
        <f t="shared" ca="1" si="371"/>
        <v/>
      </c>
      <c r="AA811" s="369" t="str">
        <f t="shared" ca="1" si="372"/>
        <v/>
      </c>
      <c r="AB811" s="344"/>
      <c r="AC811" s="363" t="e">
        <f t="shared" ca="1" si="373"/>
        <v>#N/A</v>
      </c>
      <c r="AD811" s="376" t="e">
        <f t="shared" ca="1" si="374"/>
        <v>#N/A</v>
      </c>
      <c r="AE811" s="377" t="e">
        <f t="shared" ca="1" si="353"/>
        <v>#N/A</v>
      </c>
      <c r="AF811" s="344"/>
      <c r="AG811" s="359">
        <f t="shared" ca="1" si="375"/>
        <v>3.6572490250056555</v>
      </c>
      <c r="AH811" s="357">
        <f t="shared" ca="1" si="376"/>
        <v>-6.0614724690726911</v>
      </c>
    </row>
    <row r="812" spans="1:34" x14ac:dyDescent="0.25">
      <c r="A812" s="402">
        <f t="shared" ca="1" si="354"/>
        <v>1E-4</v>
      </c>
      <c r="B812" s="357">
        <f t="shared" ca="1" si="355"/>
        <v>35.609200000000499</v>
      </c>
      <c r="C812" s="342"/>
      <c r="D812" s="359">
        <f t="shared" ca="1" si="356"/>
        <v>-0.82495475199763602</v>
      </c>
      <c r="E812" s="360">
        <f t="shared" ca="1" si="357"/>
        <v>-3.8048864062664034</v>
      </c>
      <c r="F812" s="357">
        <f t="shared" ca="1" si="358"/>
        <v>3.8932904987214028</v>
      </c>
      <c r="G812" s="359">
        <f t="shared" ca="1" si="359"/>
        <v>18.705667070136609</v>
      </c>
      <c r="H812" s="360">
        <f t="shared" ca="1" si="360"/>
        <v>-136.16560740008433</v>
      </c>
      <c r="I812" s="357">
        <f t="shared" ca="1" si="361"/>
        <v>137.44444193627001</v>
      </c>
      <c r="J812" s="359">
        <f t="shared" ca="1" si="362"/>
        <v>1009.0500868209435</v>
      </c>
      <c r="K812" s="360">
        <f t="shared" ca="1" si="363"/>
        <v>-12.212490262423541</v>
      </c>
      <c r="L812" s="357">
        <f t="shared" ca="1" si="348"/>
        <v>1009.1239877397442</v>
      </c>
      <c r="M812" s="359">
        <f t="shared" ca="1" si="364"/>
        <v>-1.4342764469811331</v>
      </c>
      <c r="N812" s="357">
        <f t="shared" ca="1" si="365"/>
        <v>-82.177987067038117</v>
      </c>
      <c r="O812" s="343"/>
      <c r="P812" s="363">
        <f t="shared" ca="1" si="366"/>
        <v>23</v>
      </c>
      <c r="Q812" s="357">
        <f t="shared" ca="1" si="367"/>
        <v>0</v>
      </c>
      <c r="R812" s="359">
        <f t="shared" ca="1" si="368"/>
        <v>0</v>
      </c>
      <c r="S812" s="360">
        <f t="shared" ca="1" si="369"/>
        <v>8.6519999999999992</v>
      </c>
      <c r="T812" s="357">
        <f t="shared" ca="1" si="349"/>
        <v>84.87612</v>
      </c>
      <c r="U812" s="364">
        <f t="shared" ca="1" si="350"/>
        <v>0</v>
      </c>
      <c r="V812" s="359">
        <f t="shared" ca="1" si="351"/>
        <v>1.2264969441279263</v>
      </c>
      <c r="W812" s="357">
        <f t="shared" ca="1" si="352"/>
        <v>52.444560816268314</v>
      </c>
      <c r="X812" s="343"/>
      <c r="Y812" s="367" t="str">
        <f t="shared" ca="1" si="370"/>
        <v/>
      </c>
      <c r="Z812" s="368" t="str">
        <f t="shared" ca="1" si="371"/>
        <v/>
      </c>
      <c r="AA812" s="369" t="str">
        <f t="shared" ca="1" si="372"/>
        <v/>
      </c>
      <c r="AB812" s="344"/>
      <c r="AC812" s="363" t="e">
        <f t="shared" ca="1" si="373"/>
        <v>#N/A</v>
      </c>
      <c r="AD812" s="376" t="e">
        <f t="shared" ca="1" si="374"/>
        <v>#N/A</v>
      </c>
      <c r="AE812" s="377" t="e">
        <f t="shared" ca="1" si="353"/>
        <v>#N/A</v>
      </c>
      <c r="AF812" s="344"/>
      <c r="AG812" s="359">
        <f t="shared" ca="1" si="375"/>
        <v>3.6572098101964299</v>
      </c>
      <c r="AH812" s="357">
        <f t="shared" ca="1" si="376"/>
        <v>-6.0615129808066497</v>
      </c>
    </row>
    <row r="813" spans="1:34" x14ac:dyDescent="0.25">
      <c r="A813" s="402">
        <f t="shared" ca="1" si="354"/>
        <v>1E-4</v>
      </c>
      <c r="B813" s="357">
        <f t="shared" ca="1" si="355"/>
        <v>35.609300000000502</v>
      </c>
      <c r="C813" s="342"/>
      <c r="D813" s="359">
        <f t="shared" ca="1" si="356"/>
        <v>-0.82495443220092834</v>
      </c>
      <c r="E813" s="360">
        <f t="shared" ca="1" si="357"/>
        <v>-3.8048454702604335</v>
      </c>
      <c r="F813" s="357">
        <f t="shared" ca="1" si="358"/>
        <v>3.8932504244871398</v>
      </c>
      <c r="G813" s="359">
        <f t="shared" ca="1" si="359"/>
        <v>18.70558457469339</v>
      </c>
      <c r="H813" s="360">
        <f t="shared" ca="1" si="360"/>
        <v>-136.16598788463136</v>
      </c>
      <c r="I813" s="357">
        <f t="shared" ca="1" si="361"/>
        <v>137.44480765339441</v>
      </c>
      <c r="J813" s="359">
        <f t="shared" ca="1" si="362"/>
        <v>1009.0500868209435</v>
      </c>
      <c r="K813" s="360">
        <f t="shared" ca="1" si="363"/>
        <v>-12.226106842187777</v>
      </c>
      <c r="L813" s="357">
        <f t="shared" ca="1" si="348"/>
        <v>1009.1241526204149</v>
      </c>
      <c r="M813" s="359">
        <f t="shared" ca="1" si="364"/>
        <v>-1.4342774183556088</v>
      </c>
      <c r="N813" s="357">
        <f t="shared" ca="1" si="365"/>
        <v>-82.178042722695892</v>
      </c>
      <c r="O813" s="343"/>
      <c r="P813" s="363">
        <f t="shared" ca="1" si="366"/>
        <v>23</v>
      </c>
      <c r="Q813" s="357">
        <f t="shared" ca="1" si="367"/>
        <v>0</v>
      </c>
      <c r="R813" s="359">
        <f t="shared" ca="1" si="368"/>
        <v>0</v>
      </c>
      <c r="S813" s="360">
        <f t="shared" ca="1" si="369"/>
        <v>8.6519999999999992</v>
      </c>
      <c r="T813" s="357">
        <f t="shared" ca="1" si="349"/>
        <v>84.87612</v>
      </c>
      <c r="U813" s="364">
        <f t="shared" ca="1" si="350"/>
        <v>0</v>
      </c>
      <c r="V813" s="359">
        <f t="shared" ca="1" si="351"/>
        <v>1.2264986141990337</v>
      </c>
      <c r="W813" s="357">
        <f t="shared" ca="1" si="352"/>
        <v>52.444911321404369</v>
      </c>
      <c r="X813" s="343"/>
      <c r="Y813" s="367" t="str">
        <f t="shared" ca="1" si="370"/>
        <v/>
      </c>
      <c r="Z813" s="368" t="str">
        <f t="shared" ca="1" si="371"/>
        <v/>
      </c>
      <c r="AA813" s="369" t="str">
        <f t="shared" ca="1" si="372"/>
        <v/>
      </c>
      <c r="AB813" s="344"/>
      <c r="AC813" s="363" t="e">
        <f t="shared" ca="1" si="373"/>
        <v>#N/A</v>
      </c>
      <c r="AD813" s="376" t="e">
        <f t="shared" ca="1" si="374"/>
        <v>#N/A</v>
      </c>
      <c r="AE813" s="377" t="e">
        <f t="shared" ca="1" si="353"/>
        <v>#N/A</v>
      </c>
      <c r="AF813" s="344"/>
      <c r="AG813" s="359">
        <f t="shared" ca="1" si="375"/>
        <v>3.6571705955032998</v>
      </c>
      <c r="AH813" s="357">
        <f t="shared" ca="1" si="376"/>
        <v>-6.0615534924027186</v>
      </c>
    </row>
    <row r="814" spans="1:34" x14ac:dyDescent="0.25">
      <c r="A814" s="402">
        <f t="shared" ca="1" si="354"/>
        <v>1E-4</v>
      </c>
      <c r="B814" s="357">
        <f t="shared" ca="1" si="355"/>
        <v>35.609400000000505</v>
      </c>
      <c r="C814" s="342"/>
      <c r="D814" s="359">
        <f t="shared" ca="1" si="356"/>
        <v>-0.8249541123634726</v>
      </c>
      <c r="E814" s="360">
        <f t="shared" ca="1" si="357"/>
        <v>-3.8048045343938375</v>
      </c>
      <c r="F814" s="357">
        <f t="shared" ca="1" si="358"/>
        <v>3.8932103503984101</v>
      </c>
      <c r="G814" s="359">
        <f t="shared" ca="1" si="359"/>
        <v>18.705502079282155</v>
      </c>
      <c r="H814" s="360">
        <f t="shared" ca="1" si="360"/>
        <v>-136.16636836508479</v>
      </c>
      <c r="I814" s="357">
        <f t="shared" ca="1" si="361"/>
        <v>137.44517336659732</v>
      </c>
      <c r="J814" s="359">
        <f t="shared" ca="1" si="362"/>
        <v>1009.0500868209435</v>
      </c>
      <c r="K814" s="360">
        <f t="shared" ca="1" si="363"/>
        <v>-12.239723460000263</v>
      </c>
      <c r="L814" s="357">
        <f t="shared" ca="1" si="348"/>
        <v>1009.1243176852547</v>
      </c>
      <c r="M814" s="359">
        <f t="shared" ca="1" si="364"/>
        <v>-1.4342783897206315</v>
      </c>
      <c r="N814" s="357">
        <f t="shared" ca="1" si="365"/>
        <v>-82.178098377812063</v>
      </c>
      <c r="O814" s="343"/>
      <c r="P814" s="363">
        <f t="shared" ca="1" si="366"/>
        <v>23</v>
      </c>
      <c r="Q814" s="357">
        <f t="shared" ca="1" si="367"/>
        <v>0</v>
      </c>
      <c r="R814" s="359">
        <f t="shared" ca="1" si="368"/>
        <v>0</v>
      </c>
      <c r="S814" s="360">
        <f t="shared" ca="1" si="369"/>
        <v>8.6519999999999992</v>
      </c>
      <c r="T814" s="357">
        <f t="shared" ca="1" si="349"/>
        <v>84.87612</v>
      </c>
      <c r="U814" s="364">
        <f t="shared" ca="1" si="350"/>
        <v>0</v>
      </c>
      <c r="V814" s="359">
        <f t="shared" ca="1" si="351"/>
        <v>1.2265002842770831</v>
      </c>
      <c r="W814" s="357">
        <f t="shared" ca="1" si="352"/>
        <v>52.445261825347288</v>
      </c>
      <c r="X814" s="343"/>
      <c r="Y814" s="367" t="str">
        <f t="shared" ca="1" si="370"/>
        <v/>
      </c>
      <c r="Z814" s="368" t="str">
        <f t="shared" ca="1" si="371"/>
        <v/>
      </c>
      <c r="AA814" s="369" t="str">
        <f t="shared" ca="1" si="372"/>
        <v/>
      </c>
      <c r="AB814" s="344"/>
      <c r="AC814" s="363" t="e">
        <f t="shared" ca="1" si="373"/>
        <v>#N/A</v>
      </c>
      <c r="AD814" s="376" t="e">
        <f t="shared" ca="1" si="374"/>
        <v>#N/A</v>
      </c>
      <c r="AE814" s="377" t="e">
        <f t="shared" ca="1" si="353"/>
        <v>#N/A</v>
      </c>
      <c r="AF814" s="344"/>
      <c r="AG814" s="359">
        <f t="shared" ca="1" si="375"/>
        <v>3.657131380926284</v>
      </c>
      <c r="AH814" s="357">
        <f t="shared" ca="1" si="376"/>
        <v>-6.0615940038608844</v>
      </c>
    </row>
    <row r="815" spans="1:34" x14ac:dyDescent="0.25">
      <c r="A815" s="402">
        <f t="shared" ca="1" si="354"/>
        <v>1E-4</v>
      </c>
      <c r="B815" s="357">
        <f t="shared" ca="1" si="355"/>
        <v>35.609500000000509</v>
      </c>
      <c r="C815" s="342"/>
      <c r="D815" s="359">
        <f t="shared" ca="1" si="356"/>
        <v>-0.82495379248526735</v>
      </c>
      <c r="E815" s="360">
        <f t="shared" ca="1" si="357"/>
        <v>-3.8047635986666135</v>
      </c>
      <c r="F815" s="357">
        <f t="shared" ca="1" si="358"/>
        <v>3.8931702764552112</v>
      </c>
      <c r="G815" s="359">
        <f t="shared" ca="1" si="359"/>
        <v>18.705419583902906</v>
      </c>
      <c r="H815" s="360">
        <f t="shared" ca="1" si="360"/>
        <v>-136.16674884144467</v>
      </c>
      <c r="I815" s="357">
        <f t="shared" ca="1" si="361"/>
        <v>137.44553907587883</v>
      </c>
      <c r="J815" s="359">
        <f t="shared" ca="1" si="362"/>
        <v>1009.0500868209435</v>
      </c>
      <c r="K815" s="360">
        <f t="shared" ca="1" si="363"/>
        <v>-12.25334011586059</v>
      </c>
      <c r="L815" s="357">
        <f t="shared" ca="1" si="348"/>
        <v>1009.1244829342654</v>
      </c>
      <c r="M815" s="359">
        <f t="shared" ca="1" si="364"/>
        <v>-1.4342793610762012</v>
      </c>
      <c r="N815" s="357">
        <f t="shared" ca="1" si="365"/>
        <v>-82.178154032386615</v>
      </c>
      <c r="O815" s="343"/>
      <c r="P815" s="363">
        <f t="shared" ca="1" si="366"/>
        <v>23</v>
      </c>
      <c r="Q815" s="357">
        <f t="shared" ca="1" si="367"/>
        <v>0</v>
      </c>
      <c r="R815" s="359">
        <f t="shared" ca="1" si="368"/>
        <v>0</v>
      </c>
      <c r="S815" s="360">
        <f t="shared" ca="1" si="369"/>
        <v>8.6519999999999992</v>
      </c>
      <c r="T815" s="357">
        <f t="shared" ca="1" si="349"/>
        <v>84.87612</v>
      </c>
      <c r="U815" s="364">
        <f t="shared" ca="1" si="350"/>
        <v>0</v>
      </c>
      <c r="V815" s="359">
        <f t="shared" ca="1" si="351"/>
        <v>1.226501954362075</v>
      </c>
      <c r="W815" s="357">
        <f t="shared" ca="1" si="352"/>
        <v>52.445612328097127</v>
      </c>
      <c r="X815" s="343"/>
      <c r="Y815" s="367" t="str">
        <f t="shared" ca="1" si="370"/>
        <v/>
      </c>
      <c r="Z815" s="368" t="str">
        <f t="shared" ca="1" si="371"/>
        <v/>
      </c>
      <c r="AA815" s="369" t="str">
        <f t="shared" ca="1" si="372"/>
        <v/>
      </c>
      <c r="AB815" s="344"/>
      <c r="AC815" s="363" t="e">
        <f t="shared" ca="1" si="373"/>
        <v>#N/A</v>
      </c>
      <c r="AD815" s="376" t="e">
        <f t="shared" ca="1" si="374"/>
        <v>#N/A</v>
      </c>
      <c r="AE815" s="377" t="e">
        <f t="shared" ca="1" si="353"/>
        <v>#N/A</v>
      </c>
      <c r="AF815" s="344"/>
      <c r="AG815" s="359">
        <f t="shared" ca="1" si="375"/>
        <v>3.6570921664653779</v>
      </c>
      <c r="AH815" s="357">
        <f t="shared" ca="1" si="376"/>
        <v>-6.0616345151811482</v>
      </c>
    </row>
    <row r="816" spans="1:34" x14ac:dyDescent="0.25">
      <c r="A816" s="402">
        <f t="shared" ca="1" si="354"/>
        <v>1E-4</v>
      </c>
      <c r="B816" s="357">
        <f t="shared" ca="1" si="355"/>
        <v>35.609600000000512</v>
      </c>
      <c r="C816" s="342"/>
      <c r="D816" s="359">
        <f t="shared" ca="1" si="356"/>
        <v>-0.82495347256631379</v>
      </c>
      <c r="E816" s="360">
        <f t="shared" ca="1" si="357"/>
        <v>-3.8047226630787572</v>
      </c>
      <c r="F816" s="357">
        <f t="shared" ca="1" si="358"/>
        <v>3.893130202657539</v>
      </c>
      <c r="G816" s="359">
        <f t="shared" ca="1" si="359"/>
        <v>18.705337088555648</v>
      </c>
      <c r="H816" s="360">
        <f t="shared" ca="1" si="360"/>
        <v>-136.16712931371097</v>
      </c>
      <c r="I816" s="357">
        <f t="shared" ca="1" si="361"/>
        <v>137.44590478123888</v>
      </c>
      <c r="J816" s="359">
        <f t="shared" ca="1" si="362"/>
        <v>1009.0500868209435</v>
      </c>
      <c r="K816" s="360">
        <f t="shared" ca="1" si="363"/>
        <v>-12.266956809768349</v>
      </c>
      <c r="L816" s="357">
        <f t="shared" ca="1" si="348"/>
        <v>1009.1246483674485</v>
      </c>
      <c r="M816" s="359">
        <f t="shared" ca="1" si="364"/>
        <v>-1.4342803324223179</v>
      </c>
      <c r="N816" s="357">
        <f t="shared" ca="1" si="365"/>
        <v>-82.178209686419549</v>
      </c>
      <c r="O816" s="343"/>
      <c r="P816" s="363">
        <f t="shared" ca="1" si="366"/>
        <v>23</v>
      </c>
      <c r="Q816" s="357">
        <f t="shared" ca="1" si="367"/>
        <v>0</v>
      </c>
      <c r="R816" s="359">
        <f t="shared" ca="1" si="368"/>
        <v>0</v>
      </c>
      <c r="S816" s="360">
        <f t="shared" ca="1" si="369"/>
        <v>8.6519999999999992</v>
      </c>
      <c r="T816" s="357">
        <f t="shared" ca="1" si="349"/>
        <v>84.87612</v>
      </c>
      <c r="U816" s="364">
        <f t="shared" ca="1" si="350"/>
        <v>0</v>
      </c>
      <c r="V816" s="359">
        <f t="shared" ca="1" si="351"/>
        <v>1.2265036244540086</v>
      </c>
      <c r="W816" s="357">
        <f t="shared" ca="1" si="352"/>
        <v>52.44596282965378</v>
      </c>
      <c r="X816" s="343"/>
      <c r="Y816" s="367" t="str">
        <f t="shared" ca="1" si="370"/>
        <v/>
      </c>
      <c r="Z816" s="368" t="str">
        <f t="shared" ca="1" si="371"/>
        <v/>
      </c>
      <c r="AA816" s="369" t="str">
        <f t="shared" ca="1" si="372"/>
        <v/>
      </c>
      <c r="AB816" s="344"/>
      <c r="AC816" s="363" t="e">
        <f t="shared" ca="1" si="373"/>
        <v>#N/A</v>
      </c>
      <c r="AD816" s="376" t="e">
        <f t="shared" ca="1" si="374"/>
        <v>#N/A</v>
      </c>
      <c r="AE816" s="377" t="e">
        <f t="shared" ca="1" si="353"/>
        <v>#N/A</v>
      </c>
      <c r="AF816" s="344"/>
      <c r="AG816" s="359">
        <f t="shared" ca="1" si="375"/>
        <v>3.6570529521205799</v>
      </c>
      <c r="AH816" s="357">
        <f t="shared" ca="1" si="376"/>
        <v>-6.0616750263635151</v>
      </c>
    </row>
    <row r="817" spans="1:34" x14ac:dyDescent="0.25">
      <c r="A817" s="402">
        <f t="shared" ca="1" si="354"/>
        <v>1E-4</v>
      </c>
      <c r="B817" s="357">
        <f t="shared" ca="1" si="355"/>
        <v>35.609700000000515</v>
      </c>
      <c r="C817" s="342"/>
      <c r="D817" s="359">
        <f t="shared" ca="1" si="356"/>
        <v>-0.82495315260661328</v>
      </c>
      <c r="E817" s="360">
        <f t="shared" ca="1" si="357"/>
        <v>-3.80468172763028</v>
      </c>
      <c r="F817" s="357">
        <f t="shared" ca="1" si="358"/>
        <v>3.893090129005405</v>
      </c>
      <c r="G817" s="359">
        <f t="shared" ca="1" si="359"/>
        <v>18.705254593240387</v>
      </c>
      <c r="H817" s="360">
        <f t="shared" ca="1" si="360"/>
        <v>-136.16750978188372</v>
      </c>
      <c r="I817" s="357">
        <f t="shared" ca="1" si="361"/>
        <v>137.44627048267748</v>
      </c>
      <c r="J817" s="359">
        <f t="shared" ca="1" si="362"/>
        <v>1009.0500868209435</v>
      </c>
      <c r="K817" s="360">
        <f t="shared" ca="1" si="363"/>
        <v>-12.280573541723129</v>
      </c>
      <c r="L817" s="357">
        <f t="shared" ca="1" si="348"/>
        <v>1009.124813984805</v>
      </c>
      <c r="M817" s="359">
        <f t="shared" ca="1" si="364"/>
        <v>-1.4342813037589819</v>
      </c>
      <c r="N817" s="357">
        <f t="shared" ca="1" si="365"/>
        <v>-82.17826533991088</v>
      </c>
      <c r="O817" s="343"/>
      <c r="P817" s="363">
        <f t="shared" ca="1" si="366"/>
        <v>23</v>
      </c>
      <c r="Q817" s="357">
        <f t="shared" ca="1" si="367"/>
        <v>0</v>
      </c>
      <c r="R817" s="359">
        <f t="shared" ca="1" si="368"/>
        <v>0</v>
      </c>
      <c r="S817" s="360">
        <f t="shared" ca="1" si="369"/>
        <v>8.6519999999999992</v>
      </c>
      <c r="T817" s="357">
        <f t="shared" ca="1" si="349"/>
        <v>84.87612</v>
      </c>
      <c r="U817" s="364">
        <f t="shared" ca="1" si="350"/>
        <v>0</v>
      </c>
      <c r="V817" s="359">
        <f t="shared" ca="1" si="351"/>
        <v>1.2265052945528843</v>
      </c>
      <c r="W817" s="357">
        <f t="shared" ca="1" si="352"/>
        <v>52.446313330017226</v>
      </c>
      <c r="X817" s="343"/>
      <c r="Y817" s="367" t="str">
        <f t="shared" ca="1" si="370"/>
        <v/>
      </c>
      <c r="Z817" s="368" t="str">
        <f t="shared" ca="1" si="371"/>
        <v/>
      </c>
      <c r="AA817" s="369" t="str">
        <f t="shared" ca="1" si="372"/>
        <v/>
      </c>
      <c r="AB817" s="344"/>
      <c r="AC817" s="363" t="e">
        <f t="shared" ca="1" si="373"/>
        <v>#N/A</v>
      </c>
      <c r="AD817" s="376" t="e">
        <f t="shared" ca="1" si="374"/>
        <v>#N/A</v>
      </c>
      <c r="AE817" s="377" t="e">
        <f t="shared" ca="1" si="353"/>
        <v>#N/A</v>
      </c>
      <c r="AF817" s="344"/>
      <c r="AG817" s="359">
        <f t="shared" ca="1" si="375"/>
        <v>3.6570137378918979</v>
      </c>
      <c r="AH817" s="357">
        <f t="shared" ca="1" si="376"/>
        <v>-6.0617155374079736</v>
      </c>
    </row>
    <row r="818" spans="1:34" x14ac:dyDescent="0.25">
      <c r="A818" s="402">
        <f t="shared" ca="1" si="354"/>
        <v>1E-4</v>
      </c>
      <c r="B818" s="357">
        <f t="shared" ca="1" si="355"/>
        <v>35.609800000000519</v>
      </c>
      <c r="C818" s="342"/>
      <c r="D818" s="359">
        <f t="shared" ca="1" si="356"/>
        <v>-0.82495283260616403</v>
      </c>
      <c r="E818" s="360">
        <f t="shared" ca="1" si="357"/>
        <v>-3.8046407923211847</v>
      </c>
      <c r="F818" s="357">
        <f t="shared" ca="1" si="358"/>
        <v>3.8930500554988123</v>
      </c>
      <c r="G818" s="359">
        <f t="shared" ca="1" si="359"/>
        <v>18.705172097957124</v>
      </c>
      <c r="H818" s="360">
        <f t="shared" ca="1" si="360"/>
        <v>-136.16789024596295</v>
      </c>
      <c r="I818" s="357">
        <f t="shared" ca="1" si="361"/>
        <v>137.4466361801947</v>
      </c>
      <c r="J818" s="359">
        <f t="shared" ca="1" si="362"/>
        <v>1009.0500868209435</v>
      </c>
      <c r="K818" s="360">
        <f t="shared" ca="1" si="363"/>
        <v>-12.294190311724522</v>
      </c>
      <c r="L818" s="357">
        <f t="shared" ca="1" si="348"/>
        <v>1009.1249797863368</v>
      </c>
      <c r="M818" s="359">
        <f t="shared" ca="1" si="364"/>
        <v>-1.434282275086193</v>
      </c>
      <c r="N818" s="357">
        <f t="shared" ca="1" si="365"/>
        <v>-82.178320992860606</v>
      </c>
      <c r="O818" s="343"/>
      <c r="P818" s="363">
        <f t="shared" ca="1" si="366"/>
        <v>23</v>
      </c>
      <c r="Q818" s="357">
        <f t="shared" ca="1" si="367"/>
        <v>0</v>
      </c>
      <c r="R818" s="359">
        <f t="shared" ca="1" si="368"/>
        <v>0</v>
      </c>
      <c r="S818" s="360">
        <f t="shared" ca="1" si="369"/>
        <v>8.6519999999999992</v>
      </c>
      <c r="T818" s="357">
        <f t="shared" ca="1" si="349"/>
        <v>84.87612</v>
      </c>
      <c r="U818" s="364">
        <f t="shared" ca="1" si="350"/>
        <v>0</v>
      </c>
      <c r="V818" s="359">
        <f t="shared" ca="1" si="351"/>
        <v>1.2265069646587017</v>
      </c>
      <c r="W818" s="357">
        <f t="shared" ca="1" si="352"/>
        <v>52.446663829187507</v>
      </c>
      <c r="X818" s="343"/>
      <c r="Y818" s="367" t="str">
        <f t="shared" ca="1" si="370"/>
        <v/>
      </c>
      <c r="Z818" s="368" t="str">
        <f t="shared" ca="1" si="371"/>
        <v/>
      </c>
      <c r="AA818" s="369" t="str">
        <f t="shared" ca="1" si="372"/>
        <v/>
      </c>
      <c r="AB818" s="344"/>
      <c r="AC818" s="363" t="e">
        <f t="shared" ca="1" si="373"/>
        <v>#N/A</v>
      </c>
      <c r="AD818" s="376" t="e">
        <f t="shared" ca="1" si="374"/>
        <v>#N/A</v>
      </c>
      <c r="AE818" s="377" t="e">
        <f t="shared" ca="1" si="353"/>
        <v>#N/A</v>
      </c>
      <c r="AF818" s="344"/>
      <c r="AG818" s="359">
        <f t="shared" ca="1" si="375"/>
        <v>3.656974523779339</v>
      </c>
      <c r="AH818" s="357">
        <f t="shared" ca="1" si="376"/>
        <v>-6.0617560483145203</v>
      </c>
    </row>
    <row r="819" spans="1:34" x14ac:dyDescent="0.25">
      <c r="A819" s="402">
        <f t="shared" ca="1" si="354"/>
        <v>1E-4</v>
      </c>
      <c r="B819" s="357">
        <f t="shared" ca="1" si="355"/>
        <v>35.609900000000522</v>
      </c>
      <c r="C819" s="342"/>
      <c r="D819" s="359">
        <f t="shared" ca="1" si="356"/>
        <v>-0.82495251256496993</v>
      </c>
      <c r="E819" s="360">
        <f t="shared" ca="1" si="357"/>
        <v>-3.8045998571514659</v>
      </c>
      <c r="F819" s="357">
        <f t="shared" ca="1" si="358"/>
        <v>3.8930099821377562</v>
      </c>
      <c r="G819" s="359">
        <f t="shared" ca="1" si="359"/>
        <v>18.705089602705868</v>
      </c>
      <c r="H819" s="360">
        <f t="shared" ca="1" si="360"/>
        <v>-136.16827070594866</v>
      </c>
      <c r="I819" s="357">
        <f t="shared" ca="1" si="361"/>
        <v>137.4470018737905</v>
      </c>
      <c r="J819" s="359">
        <f t="shared" ca="1" si="362"/>
        <v>1009.0500868209435</v>
      </c>
      <c r="K819" s="360">
        <f t="shared" ca="1" si="363"/>
        <v>-12.307807119772118</v>
      </c>
      <c r="L819" s="357">
        <f t="shared" ca="1" si="348"/>
        <v>1009.125145772045</v>
      </c>
      <c r="M819" s="359">
        <f t="shared" ca="1" si="364"/>
        <v>-1.4342832464039519</v>
      </c>
      <c r="N819" s="357">
        <f t="shared" ca="1" si="365"/>
        <v>-82.178376645268756</v>
      </c>
      <c r="O819" s="343"/>
      <c r="P819" s="363">
        <f t="shared" ca="1" si="366"/>
        <v>23</v>
      </c>
      <c r="Q819" s="357">
        <f t="shared" ca="1" si="367"/>
        <v>0</v>
      </c>
      <c r="R819" s="359">
        <f t="shared" ca="1" si="368"/>
        <v>0</v>
      </c>
      <c r="S819" s="360">
        <f t="shared" ca="1" si="369"/>
        <v>8.6519999999999992</v>
      </c>
      <c r="T819" s="357">
        <f t="shared" ca="1" si="349"/>
        <v>84.87612</v>
      </c>
      <c r="U819" s="364">
        <f t="shared" ca="1" si="350"/>
        <v>0</v>
      </c>
      <c r="V819" s="359">
        <f t="shared" ca="1" si="351"/>
        <v>1.2265086347714611</v>
      </c>
      <c r="W819" s="357">
        <f t="shared" ca="1" si="352"/>
        <v>52.447014327164545</v>
      </c>
      <c r="X819" s="343"/>
      <c r="Y819" s="367" t="str">
        <f t="shared" ca="1" si="370"/>
        <v/>
      </c>
      <c r="Z819" s="368" t="str">
        <f t="shared" ca="1" si="371"/>
        <v/>
      </c>
      <c r="AA819" s="369" t="str">
        <f t="shared" ca="1" si="372"/>
        <v/>
      </c>
      <c r="AB819" s="344"/>
      <c r="AC819" s="363" t="e">
        <f t="shared" ca="1" si="373"/>
        <v>#N/A</v>
      </c>
      <c r="AD819" s="376" t="e">
        <f t="shared" ca="1" si="374"/>
        <v>#N/A</v>
      </c>
      <c r="AE819" s="377" t="e">
        <f t="shared" ca="1" si="353"/>
        <v>#N/A</v>
      </c>
      <c r="AF819" s="344"/>
      <c r="AG819" s="359">
        <f t="shared" ca="1" si="375"/>
        <v>3.6569353097828969</v>
      </c>
      <c r="AH819" s="357">
        <f t="shared" ca="1" si="376"/>
        <v>-6.0617965590831613</v>
      </c>
    </row>
    <row r="820" spans="1:34" x14ac:dyDescent="0.25">
      <c r="A820" s="402">
        <f t="shared" ca="1" si="354"/>
        <v>1E-4</v>
      </c>
      <c r="B820" s="357">
        <f t="shared" ca="1" si="355"/>
        <v>35.610000000000525</v>
      </c>
      <c r="C820" s="342"/>
      <c r="D820" s="359">
        <f t="shared" ca="1" si="356"/>
        <v>-0.8249521924830272</v>
      </c>
      <c r="E820" s="360">
        <f t="shared" ca="1" si="357"/>
        <v>-3.8045589221211333</v>
      </c>
      <c r="F820" s="357">
        <f t="shared" ca="1" si="358"/>
        <v>3.8929699089222449</v>
      </c>
      <c r="G820" s="359">
        <f t="shared" ca="1" si="359"/>
        <v>18.705007107486619</v>
      </c>
      <c r="H820" s="360">
        <f t="shared" ca="1" si="360"/>
        <v>-136.16865116184087</v>
      </c>
      <c r="I820" s="357">
        <f t="shared" ca="1" si="361"/>
        <v>137.44736756346492</v>
      </c>
      <c r="J820" s="359">
        <f t="shared" ca="1" si="362"/>
        <v>1009.0500868209435</v>
      </c>
      <c r="K820" s="360">
        <f t="shared" ca="1" si="363"/>
        <v>-12.321423965865508</v>
      </c>
      <c r="L820" s="357">
        <f t="shared" ca="1" si="348"/>
        <v>1009.1253119419314</v>
      </c>
      <c r="M820" s="359">
        <f t="shared" ca="1" si="364"/>
        <v>-1.4342842177122583</v>
      </c>
      <c r="N820" s="357">
        <f t="shared" ca="1" si="365"/>
        <v>-82.178432297135316</v>
      </c>
      <c r="O820" s="343"/>
      <c r="P820" s="363">
        <f t="shared" ca="1" si="366"/>
        <v>23</v>
      </c>
      <c r="Q820" s="357">
        <f t="shared" ca="1" si="367"/>
        <v>0</v>
      </c>
      <c r="R820" s="359">
        <f t="shared" ca="1" si="368"/>
        <v>0</v>
      </c>
      <c r="S820" s="360">
        <f t="shared" ca="1" si="369"/>
        <v>8.6519999999999992</v>
      </c>
      <c r="T820" s="357">
        <f t="shared" ca="1" si="349"/>
        <v>84.87612</v>
      </c>
      <c r="U820" s="364">
        <f t="shared" ca="1" si="350"/>
        <v>0</v>
      </c>
      <c r="V820" s="359">
        <f t="shared" ca="1" si="351"/>
        <v>1.226510304891163</v>
      </c>
      <c r="W820" s="357">
        <f t="shared" ca="1" si="352"/>
        <v>52.447364823948391</v>
      </c>
      <c r="X820" s="343"/>
      <c r="Y820" s="367" t="str">
        <f t="shared" ca="1" si="370"/>
        <v/>
      </c>
      <c r="Z820" s="368" t="str">
        <f t="shared" ca="1" si="371"/>
        <v/>
      </c>
      <c r="AA820" s="369" t="str">
        <f t="shared" ca="1" si="372"/>
        <v/>
      </c>
      <c r="AB820" s="344"/>
      <c r="AC820" s="363" t="e">
        <f t="shared" ca="1" si="373"/>
        <v>#N/A</v>
      </c>
      <c r="AD820" s="376" t="e">
        <f t="shared" ca="1" si="374"/>
        <v>#N/A</v>
      </c>
      <c r="AE820" s="377" t="e">
        <f t="shared" ca="1" si="353"/>
        <v>#N/A</v>
      </c>
      <c r="AF820" s="344"/>
      <c r="AG820" s="359">
        <f t="shared" ca="1" si="375"/>
        <v>3.6568960959025816</v>
      </c>
      <c r="AH820" s="357">
        <f t="shared" ca="1" si="376"/>
        <v>-6.0618370697138868</v>
      </c>
    </row>
    <row r="821" spans="1:34" x14ac:dyDescent="0.25">
      <c r="A821" s="402">
        <f t="shared" ca="1" si="354"/>
        <v>1E-4</v>
      </c>
      <c r="B821" s="357">
        <f t="shared" ca="1" si="355"/>
        <v>35.610100000000529</v>
      </c>
      <c r="C821" s="342"/>
      <c r="D821" s="359">
        <f t="shared" ca="1" si="356"/>
        <v>-0.8249518723603394</v>
      </c>
      <c r="E821" s="360">
        <f t="shared" ca="1" si="357"/>
        <v>-3.8045179872301809</v>
      </c>
      <c r="F821" s="357">
        <f t="shared" ca="1" si="358"/>
        <v>3.8929298358522746</v>
      </c>
      <c r="G821" s="359">
        <f t="shared" ca="1" si="359"/>
        <v>18.704924612299383</v>
      </c>
      <c r="H821" s="360">
        <f t="shared" ca="1" si="360"/>
        <v>-136.16903161363959</v>
      </c>
      <c r="I821" s="357">
        <f t="shared" ca="1" si="361"/>
        <v>137.44773324921798</v>
      </c>
      <c r="J821" s="359">
        <f t="shared" ca="1" si="362"/>
        <v>1009.0500868209435</v>
      </c>
      <c r="K821" s="360">
        <f t="shared" ca="1" si="363"/>
        <v>-12.335040850004281</v>
      </c>
      <c r="L821" s="357">
        <f t="shared" ca="1" si="348"/>
        <v>1009.1254782959971</v>
      </c>
      <c r="M821" s="359">
        <f t="shared" ca="1" si="364"/>
        <v>-1.4342851890111126</v>
      </c>
      <c r="N821" s="357">
        <f t="shared" ca="1" si="365"/>
        <v>-82.178487948460315</v>
      </c>
      <c r="O821" s="343"/>
      <c r="P821" s="363">
        <f t="shared" ca="1" si="366"/>
        <v>23</v>
      </c>
      <c r="Q821" s="357">
        <f t="shared" ca="1" si="367"/>
        <v>0</v>
      </c>
      <c r="R821" s="359">
        <f t="shared" ca="1" si="368"/>
        <v>0</v>
      </c>
      <c r="S821" s="360">
        <f t="shared" ca="1" si="369"/>
        <v>8.6519999999999992</v>
      </c>
      <c r="T821" s="357">
        <f t="shared" ca="1" si="349"/>
        <v>84.87612</v>
      </c>
      <c r="U821" s="364">
        <f t="shared" ca="1" si="350"/>
        <v>0</v>
      </c>
      <c r="V821" s="359">
        <f t="shared" ca="1" si="351"/>
        <v>1.2265119750178062</v>
      </c>
      <c r="W821" s="357">
        <f t="shared" ca="1" si="352"/>
        <v>52.447715319538958</v>
      </c>
      <c r="X821" s="343"/>
      <c r="Y821" s="367" t="str">
        <f t="shared" ca="1" si="370"/>
        <v/>
      </c>
      <c r="Z821" s="368" t="str">
        <f t="shared" ca="1" si="371"/>
        <v/>
      </c>
      <c r="AA821" s="369" t="str">
        <f t="shared" ca="1" si="372"/>
        <v/>
      </c>
      <c r="AB821" s="344"/>
      <c r="AC821" s="363" t="e">
        <f t="shared" ca="1" si="373"/>
        <v>#N/A</v>
      </c>
      <c r="AD821" s="376" t="e">
        <f t="shared" ca="1" si="374"/>
        <v>#N/A</v>
      </c>
      <c r="AE821" s="377" t="e">
        <f t="shared" ca="1" si="353"/>
        <v>#N/A</v>
      </c>
      <c r="AF821" s="344"/>
      <c r="AG821" s="359">
        <f t="shared" ca="1" si="375"/>
        <v>3.6568568821383849</v>
      </c>
      <c r="AH821" s="357">
        <f t="shared" ca="1" si="376"/>
        <v>-6.0618775802067031</v>
      </c>
    </row>
    <row r="822" spans="1:34" x14ac:dyDescent="0.25">
      <c r="A822" s="402">
        <f t="shared" ca="1" si="354"/>
        <v>1E-4</v>
      </c>
      <c r="B822" s="357">
        <f t="shared" ca="1" si="355"/>
        <v>35.610200000000532</v>
      </c>
      <c r="C822" s="342"/>
      <c r="D822" s="359">
        <f t="shared" ca="1" si="356"/>
        <v>-0.82495155219690552</v>
      </c>
      <c r="E822" s="360">
        <f t="shared" ca="1" si="357"/>
        <v>-3.8044770524786191</v>
      </c>
      <c r="F822" s="357">
        <f t="shared" ca="1" si="358"/>
        <v>3.892889762927854</v>
      </c>
      <c r="G822" s="359">
        <f t="shared" ca="1" si="359"/>
        <v>18.704842117144164</v>
      </c>
      <c r="H822" s="360">
        <f t="shared" ca="1" si="360"/>
        <v>-136.16941206134484</v>
      </c>
      <c r="I822" s="357">
        <f t="shared" ca="1" si="361"/>
        <v>137.44809893104966</v>
      </c>
      <c r="J822" s="359">
        <f t="shared" ca="1" si="362"/>
        <v>1009.0500868209435</v>
      </c>
      <c r="K822" s="360">
        <f t="shared" ca="1" si="363"/>
        <v>-12.34865777218803</v>
      </c>
      <c r="L822" s="357">
        <f t="shared" ca="1" si="348"/>
        <v>1009.1256448342438</v>
      </c>
      <c r="M822" s="359">
        <f t="shared" ca="1" si="364"/>
        <v>-1.4342861603005148</v>
      </c>
      <c r="N822" s="357">
        <f t="shared" ca="1" si="365"/>
        <v>-82.178543599243739</v>
      </c>
      <c r="O822" s="343"/>
      <c r="P822" s="363">
        <f t="shared" ca="1" si="366"/>
        <v>23</v>
      </c>
      <c r="Q822" s="357">
        <f t="shared" ca="1" si="367"/>
        <v>0</v>
      </c>
      <c r="R822" s="359">
        <f t="shared" ca="1" si="368"/>
        <v>0</v>
      </c>
      <c r="S822" s="360">
        <f t="shared" ca="1" si="369"/>
        <v>8.6519999999999992</v>
      </c>
      <c r="T822" s="357">
        <f t="shared" ca="1" si="349"/>
        <v>84.87612</v>
      </c>
      <c r="U822" s="364">
        <f t="shared" ca="1" si="350"/>
        <v>0</v>
      </c>
      <c r="V822" s="359">
        <f t="shared" ca="1" si="351"/>
        <v>1.2265136451513914</v>
      </c>
      <c r="W822" s="357">
        <f t="shared" ca="1" si="352"/>
        <v>52.448065813936246</v>
      </c>
      <c r="X822" s="343"/>
      <c r="Y822" s="367" t="str">
        <f t="shared" ca="1" si="370"/>
        <v/>
      </c>
      <c r="Z822" s="368" t="str">
        <f t="shared" ca="1" si="371"/>
        <v/>
      </c>
      <c r="AA822" s="369" t="str">
        <f t="shared" ca="1" si="372"/>
        <v/>
      </c>
      <c r="AB822" s="344"/>
      <c r="AC822" s="363" t="e">
        <f t="shared" ca="1" si="373"/>
        <v>#N/A</v>
      </c>
      <c r="AD822" s="376" t="e">
        <f t="shared" ca="1" si="374"/>
        <v>#N/A</v>
      </c>
      <c r="AE822" s="377" t="e">
        <f t="shared" ca="1" si="353"/>
        <v>#N/A</v>
      </c>
      <c r="AF822" s="344"/>
      <c r="AG822" s="359">
        <f t="shared" ca="1" si="375"/>
        <v>3.6568176684903229</v>
      </c>
      <c r="AH822" s="357">
        <f t="shared" ca="1" si="376"/>
        <v>-6.0619180905615995</v>
      </c>
    </row>
    <row r="823" spans="1:34" x14ac:dyDescent="0.25">
      <c r="A823" s="402">
        <f t="shared" ca="1" si="354"/>
        <v>1E-4</v>
      </c>
      <c r="B823" s="357">
        <f t="shared" ca="1" si="355"/>
        <v>35.610300000000535</v>
      </c>
      <c r="C823" s="342"/>
      <c r="D823" s="359">
        <f t="shared" ca="1" si="356"/>
        <v>-0.8249512319927258</v>
      </c>
      <c r="E823" s="360">
        <f t="shared" ca="1" si="357"/>
        <v>-3.8044361178664463</v>
      </c>
      <c r="F823" s="357">
        <f t="shared" ca="1" si="358"/>
        <v>3.8928496901489829</v>
      </c>
      <c r="G823" s="359">
        <f t="shared" ca="1" si="359"/>
        <v>18.704759622020966</v>
      </c>
      <c r="H823" s="360">
        <f t="shared" ca="1" si="360"/>
        <v>-136.16979250495663</v>
      </c>
      <c r="I823" s="357">
        <f t="shared" ca="1" si="361"/>
        <v>137.44846460895999</v>
      </c>
      <c r="J823" s="359">
        <f t="shared" ca="1" si="362"/>
        <v>1009.0500868209435</v>
      </c>
      <c r="K823" s="360">
        <f t="shared" ca="1" si="363"/>
        <v>-12.362274732416346</v>
      </c>
      <c r="L823" s="357">
        <f t="shared" ca="1" si="348"/>
        <v>1009.1258115566727</v>
      </c>
      <c r="M823" s="359">
        <f t="shared" ca="1" si="364"/>
        <v>-1.4342871315804653</v>
      </c>
      <c r="N823" s="357">
        <f t="shared" ca="1" si="365"/>
        <v>-82.178599249485629</v>
      </c>
      <c r="O823" s="343"/>
      <c r="P823" s="363">
        <f t="shared" ca="1" si="366"/>
        <v>23</v>
      </c>
      <c r="Q823" s="357">
        <f t="shared" ca="1" si="367"/>
        <v>0</v>
      </c>
      <c r="R823" s="359">
        <f t="shared" ca="1" si="368"/>
        <v>0</v>
      </c>
      <c r="S823" s="360">
        <f t="shared" ca="1" si="369"/>
        <v>8.6519999999999992</v>
      </c>
      <c r="T823" s="357">
        <f t="shared" ca="1" si="349"/>
        <v>84.87612</v>
      </c>
      <c r="U823" s="364">
        <f t="shared" ca="1" si="350"/>
        <v>0</v>
      </c>
      <c r="V823" s="359">
        <f t="shared" ca="1" si="351"/>
        <v>1.2265153152919182</v>
      </c>
      <c r="W823" s="357">
        <f t="shared" ca="1" si="352"/>
        <v>52.448416307140221</v>
      </c>
      <c r="X823" s="343"/>
      <c r="Y823" s="367" t="str">
        <f t="shared" ca="1" si="370"/>
        <v/>
      </c>
      <c r="Z823" s="368" t="str">
        <f t="shared" ca="1" si="371"/>
        <v/>
      </c>
      <c r="AA823" s="369" t="str">
        <f t="shared" ca="1" si="372"/>
        <v/>
      </c>
      <c r="AB823" s="344"/>
      <c r="AC823" s="363" t="e">
        <f t="shared" ca="1" si="373"/>
        <v>#N/A</v>
      </c>
      <c r="AD823" s="376" t="e">
        <f t="shared" ca="1" si="374"/>
        <v>#N/A</v>
      </c>
      <c r="AE823" s="377" t="e">
        <f t="shared" ca="1" si="353"/>
        <v>#N/A</v>
      </c>
      <c r="AF823" s="344"/>
      <c r="AG823" s="359">
        <f t="shared" ca="1" si="375"/>
        <v>3.6567784549583893</v>
      </c>
      <c r="AH823" s="357">
        <f t="shared" ca="1" si="376"/>
        <v>-6.0619586007785768</v>
      </c>
    </row>
    <row r="824" spans="1:34" x14ac:dyDescent="0.25">
      <c r="A824" s="402">
        <f t="shared" ca="1" si="354"/>
        <v>1E-4</v>
      </c>
      <c r="B824" s="357">
        <f t="shared" ca="1" si="355"/>
        <v>35.610400000000539</v>
      </c>
      <c r="C824" s="342"/>
      <c r="D824" s="359">
        <f t="shared" ca="1" si="356"/>
        <v>-0.82495091174779989</v>
      </c>
      <c r="E824" s="360">
        <f t="shared" ca="1" si="357"/>
        <v>-3.8043951833936669</v>
      </c>
      <c r="F824" s="357">
        <f t="shared" ca="1" si="358"/>
        <v>3.892809617515665</v>
      </c>
      <c r="G824" s="359">
        <f t="shared" ca="1" si="359"/>
        <v>18.704677126929791</v>
      </c>
      <c r="H824" s="360">
        <f t="shared" ca="1" si="360"/>
        <v>-136.17017294447498</v>
      </c>
      <c r="I824" s="357">
        <f t="shared" ca="1" si="361"/>
        <v>137.44883028294899</v>
      </c>
      <c r="J824" s="359">
        <f t="shared" ca="1" si="362"/>
        <v>1009.0500868209435</v>
      </c>
      <c r="K824" s="360">
        <f t="shared" ca="1" si="363"/>
        <v>-12.375891730688817</v>
      </c>
      <c r="L824" s="357">
        <f t="shared" ca="1" si="348"/>
        <v>1009.1259784632855</v>
      </c>
      <c r="M824" s="359">
        <f t="shared" ca="1" si="364"/>
        <v>-1.4342881028509638</v>
      </c>
      <c r="N824" s="357">
        <f t="shared" ca="1" si="365"/>
        <v>-82.178654899185958</v>
      </c>
      <c r="O824" s="343"/>
      <c r="P824" s="363">
        <f t="shared" ca="1" si="366"/>
        <v>23</v>
      </c>
      <c r="Q824" s="357">
        <f t="shared" ca="1" si="367"/>
        <v>0</v>
      </c>
      <c r="R824" s="359">
        <f t="shared" ca="1" si="368"/>
        <v>0</v>
      </c>
      <c r="S824" s="360">
        <f t="shared" ca="1" si="369"/>
        <v>8.6519999999999992</v>
      </c>
      <c r="T824" s="357">
        <f t="shared" ca="1" si="349"/>
        <v>84.87612</v>
      </c>
      <c r="U824" s="364">
        <f t="shared" ca="1" si="350"/>
        <v>0</v>
      </c>
      <c r="V824" s="359">
        <f t="shared" ca="1" si="351"/>
        <v>1.2265169854393869</v>
      </c>
      <c r="W824" s="357">
        <f t="shared" ca="1" si="352"/>
        <v>52.448766799150889</v>
      </c>
      <c r="X824" s="343"/>
      <c r="Y824" s="367" t="str">
        <f t="shared" ca="1" si="370"/>
        <v/>
      </c>
      <c r="Z824" s="368" t="str">
        <f t="shared" ca="1" si="371"/>
        <v/>
      </c>
      <c r="AA824" s="369" t="str">
        <f t="shared" ca="1" si="372"/>
        <v/>
      </c>
      <c r="AB824" s="344"/>
      <c r="AC824" s="363" t="e">
        <f t="shared" ca="1" si="373"/>
        <v>#N/A</v>
      </c>
      <c r="AD824" s="376" t="e">
        <f t="shared" ca="1" si="374"/>
        <v>#N/A</v>
      </c>
      <c r="AE824" s="377" t="e">
        <f t="shared" ca="1" si="353"/>
        <v>#N/A</v>
      </c>
      <c r="AF824" s="344"/>
      <c r="AG824" s="359">
        <f t="shared" ca="1" si="375"/>
        <v>3.6567392415425948</v>
      </c>
      <c r="AH824" s="357">
        <f t="shared" ca="1" si="376"/>
        <v>-6.0619991108576317</v>
      </c>
    </row>
    <row r="825" spans="1:34" x14ac:dyDescent="0.25">
      <c r="A825" s="402">
        <f t="shared" ca="1" si="354"/>
        <v>1E-4</v>
      </c>
      <c r="B825" s="357">
        <f t="shared" ca="1" si="355"/>
        <v>35.610500000000542</v>
      </c>
      <c r="C825" s="342"/>
      <c r="D825" s="359">
        <f t="shared" ca="1" si="356"/>
        <v>-0.82495059146213046</v>
      </c>
      <c r="E825" s="360">
        <f t="shared" ca="1" si="357"/>
        <v>-3.8043542490602835</v>
      </c>
      <c r="F825" s="357">
        <f t="shared" ca="1" si="358"/>
        <v>3.8927695450279036</v>
      </c>
      <c r="G825" s="359">
        <f t="shared" ca="1" si="359"/>
        <v>18.704594631870645</v>
      </c>
      <c r="H825" s="360">
        <f t="shared" ca="1" si="360"/>
        <v>-136.1705533798999</v>
      </c>
      <c r="I825" s="357">
        <f t="shared" ca="1" si="361"/>
        <v>137.44919595301667</v>
      </c>
      <c r="J825" s="359">
        <f t="shared" ca="1" si="362"/>
        <v>1009.0500868209435</v>
      </c>
      <c r="K825" s="360">
        <f t="shared" ca="1" si="363"/>
        <v>-12.389508767005037</v>
      </c>
      <c r="L825" s="357">
        <f t="shared" ca="1" si="348"/>
        <v>1009.1261455540836</v>
      </c>
      <c r="M825" s="359">
        <f t="shared" ca="1" si="364"/>
        <v>-1.4342890741120107</v>
      </c>
      <c r="N825" s="357">
        <f t="shared" ca="1" si="365"/>
        <v>-82.178710548344753</v>
      </c>
      <c r="O825" s="343"/>
      <c r="P825" s="363">
        <f t="shared" ca="1" si="366"/>
        <v>23</v>
      </c>
      <c r="Q825" s="357">
        <f t="shared" ca="1" si="367"/>
        <v>0</v>
      </c>
      <c r="R825" s="359">
        <f t="shared" ca="1" si="368"/>
        <v>0</v>
      </c>
      <c r="S825" s="360">
        <f t="shared" ca="1" si="369"/>
        <v>8.6519999999999992</v>
      </c>
      <c r="T825" s="357">
        <f t="shared" ca="1" si="349"/>
        <v>84.87612</v>
      </c>
      <c r="U825" s="364">
        <f t="shared" ca="1" si="350"/>
        <v>0</v>
      </c>
      <c r="V825" s="359">
        <f t="shared" ca="1" si="351"/>
        <v>1.2265186555937981</v>
      </c>
      <c r="W825" s="357">
        <f t="shared" ca="1" si="352"/>
        <v>52.449117289968264</v>
      </c>
      <c r="X825" s="343"/>
      <c r="Y825" s="367" t="str">
        <f t="shared" ca="1" si="370"/>
        <v/>
      </c>
      <c r="Z825" s="368" t="str">
        <f t="shared" ca="1" si="371"/>
        <v/>
      </c>
      <c r="AA825" s="369" t="str">
        <f t="shared" ca="1" si="372"/>
        <v/>
      </c>
      <c r="AB825" s="344"/>
      <c r="AC825" s="363" t="e">
        <f t="shared" ca="1" si="373"/>
        <v>#N/A</v>
      </c>
      <c r="AD825" s="376" t="e">
        <f t="shared" ca="1" si="374"/>
        <v>#N/A</v>
      </c>
      <c r="AE825" s="377" t="e">
        <f t="shared" ca="1" si="353"/>
        <v>#N/A</v>
      </c>
      <c r="AF825" s="344"/>
      <c r="AG825" s="359">
        <f t="shared" ca="1" si="375"/>
        <v>3.6567000282429358</v>
      </c>
      <c r="AH825" s="357">
        <f t="shared" ca="1" si="376"/>
        <v>-6.0620396207987621</v>
      </c>
    </row>
    <row r="826" spans="1:34" x14ac:dyDescent="0.25">
      <c r="A826" s="402">
        <f t="shared" ca="1" si="354"/>
        <v>1E-4</v>
      </c>
      <c r="B826" s="357">
        <f t="shared" ca="1" si="355"/>
        <v>35.610600000000545</v>
      </c>
      <c r="C826" s="342"/>
      <c r="D826" s="359">
        <f t="shared" ca="1" si="356"/>
        <v>-0.82495027113571717</v>
      </c>
      <c r="E826" s="360">
        <f t="shared" ca="1" si="357"/>
        <v>-3.80431331486629</v>
      </c>
      <c r="F826" s="357">
        <f t="shared" ca="1" si="358"/>
        <v>3.8927294726856929</v>
      </c>
      <c r="G826" s="359">
        <f t="shared" ca="1" si="359"/>
        <v>18.70451213684353</v>
      </c>
      <c r="H826" s="360">
        <f t="shared" ca="1" si="360"/>
        <v>-136.17093381123138</v>
      </c>
      <c r="I826" s="357">
        <f t="shared" ca="1" si="361"/>
        <v>137.44956161916298</v>
      </c>
      <c r="J826" s="359">
        <f t="shared" ca="1" si="362"/>
        <v>1009.0500868209435</v>
      </c>
      <c r="K826" s="360">
        <f t="shared" ca="1" si="363"/>
        <v>-12.403125841364593</v>
      </c>
      <c r="L826" s="357">
        <f t="shared" ca="1" si="348"/>
        <v>1009.1263128290682</v>
      </c>
      <c r="M826" s="359">
        <f t="shared" ca="1" si="364"/>
        <v>-1.4342900453636063</v>
      </c>
      <c r="N826" s="357">
        <f t="shared" ca="1" si="365"/>
        <v>-82.17876619696203</v>
      </c>
      <c r="O826" s="343"/>
      <c r="P826" s="363">
        <f t="shared" ca="1" si="366"/>
        <v>23</v>
      </c>
      <c r="Q826" s="357">
        <f t="shared" ca="1" si="367"/>
        <v>0</v>
      </c>
      <c r="R826" s="359">
        <f t="shared" ca="1" si="368"/>
        <v>0</v>
      </c>
      <c r="S826" s="360">
        <f t="shared" ca="1" si="369"/>
        <v>8.6519999999999992</v>
      </c>
      <c r="T826" s="357">
        <f t="shared" ca="1" si="349"/>
        <v>84.87612</v>
      </c>
      <c r="U826" s="364">
        <f t="shared" ca="1" si="350"/>
        <v>0</v>
      </c>
      <c r="V826" s="359">
        <f t="shared" ca="1" si="351"/>
        <v>1.2265203257551502</v>
      </c>
      <c r="W826" s="357">
        <f t="shared" ca="1" si="352"/>
        <v>52.449467779592197</v>
      </c>
      <c r="X826" s="343"/>
      <c r="Y826" s="367" t="str">
        <f t="shared" ca="1" si="370"/>
        <v/>
      </c>
      <c r="Z826" s="368" t="str">
        <f t="shared" ca="1" si="371"/>
        <v/>
      </c>
      <c r="AA826" s="369" t="str">
        <f t="shared" ca="1" si="372"/>
        <v/>
      </c>
      <c r="AB826" s="344"/>
      <c r="AC826" s="363" t="e">
        <f t="shared" ca="1" si="373"/>
        <v>#N/A</v>
      </c>
      <c r="AD826" s="376" t="e">
        <f t="shared" ca="1" si="374"/>
        <v>#N/A</v>
      </c>
      <c r="AE826" s="377" t="e">
        <f t="shared" ca="1" si="353"/>
        <v>#N/A</v>
      </c>
      <c r="AF826" s="344"/>
      <c r="AG826" s="359">
        <f t="shared" ca="1" si="375"/>
        <v>3.6566608150594115</v>
      </c>
      <c r="AH826" s="357">
        <f t="shared" ca="1" si="376"/>
        <v>-6.0620801306019727</v>
      </c>
    </row>
    <row r="827" spans="1:34" x14ac:dyDescent="0.25">
      <c r="A827" s="402">
        <f t="shared" ca="1" si="354"/>
        <v>1E-4</v>
      </c>
      <c r="B827" s="357">
        <f t="shared" ca="1" si="355"/>
        <v>35.610700000000548</v>
      </c>
      <c r="C827" s="342"/>
      <c r="D827" s="359">
        <f t="shared" ca="1" si="356"/>
        <v>-0.82494995076855737</v>
      </c>
      <c r="E827" s="360">
        <f t="shared" ca="1" si="357"/>
        <v>-3.8042723808117058</v>
      </c>
      <c r="F827" s="357">
        <f t="shared" ca="1" si="358"/>
        <v>3.8926894004890515</v>
      </c>
      <c r="G827" s="359">
        <f t="shared" ca="1" si="359"/>
        <v>18.704429641848453</v>
      </c>
      <c r="H827" s="360">
        <f t="shared" ca="1" si="360"/>
        <v>-136.17131423846945</v>
      </c>
      <c r="I827" s="357">
        <f t="shared" ca="1" si="361"/>
        <v>137.44992728138803</v>
      </c>
      <c r="J827" s="359">
        <f t="shared" ca="1" si="362"/>
        <v>1009.0500868209435</v>
      </c>
      <c r="K827" s="360">
        <f t="shared" ca="1" si="363"/>
        <v>-12.416742953767079</v>
      </c>
      <c r="L827" s="357">
        <f t="shared" ca="1" si="348"/>
        <v>1009.1264802882409</v>
      </c>
      <c r="M827" s="359">
        <f t="shared" ca="1" si="364"/>
        <v>-1.4342910166057503</v>
      </c>
      <c r="N827" s="357">
        <f t="shared" ca="1" si="365"/>
        <v>-82.17882184503776</v>
      </c>
      <c r="O827" s="343"/>
      <c r="P827" s="363">
        <f t="shared" ca="1" si="366"/>
        <v>23</v>
      </c>
      <c r="Q827" s="357">
        <f t="shared" ca="1" si="367"/>
        <v>0</v>
      </c>
      <c r="R827" s="359">
        <f t="shared" ca="1" si="368"/>
        <v>0</v>
      </c>
      <c r="S827" s="360">
        <f t="shared" ca="1" si="369"/>
        <v>8.6519999999999992</v>
      </c>
      <c r="T827" s="357">
        <f t="shared" ca="1" si="349"/>
        <v>84.87612</v>
      </c>
      <c r="U827" s="364">
        <f t="shared" ca="1" si="350"/>
        <v>0</v>
      </c>
      <c r="V827" s="359">
        <f t="shared" ca="1" si="351"/>
        <v>1.2265219959234444</v>
      </c>
      <c r="W827" s="357">
        <f t="shared" ca="1" si="352"/>
        <v>52.449818268022796</v>
      </c>
      <c r="X827" s="343"/>
      <c r="Y827" s="367" t="str">
        <f t="shared" ca="1" si="370"/>
        <v/>
      </c>
      <c r="Z827" s="368" t="str">
        <f t="shared" ca="1" si="371"/>
        <v/>
      </c>
      <c r="AA827" s="369" t="str">
        <f t="shared" ca="1" si="372"/>
        <v/>
      </c>
      <c r="AB827" s="344"/>
      <c r="AC827" s="363" t="e">
        <f t="shared" ca="1" si="373"/>
        <v>#N/A</v>
      </c>
      <c r="AD827" s="376" t="e">
        <f t="shared" ca="1" si="374"/>
        <v>#N/A</v>
      </c>
      <c r="AE827" s="377" t="e">
        <f t="shared" ca="1" si="353"/>
        <v>#N/A</v>
      </c>
      <c r="AF827" s="344"/>
      <c r="AG827" s="359">
        <f t="shared" ca="1" si="375"/>
        <v>3.6566216019920406</v>
      </c>
      <c r="AH827" s="357">
        <f t="shared" ca="1" si="376"/>
        <v>-6.0621206402672447</v>
      </c>
    </row>
    <row r="828" spans="1:34" x14ac:dyDescent="0.25">
      <c r="A828" s="402">
        <f t="shared" ca="1" si="354"/>
        <v>1E-4</v>
      </c>
      <c r="B828" s="357">
        <f t="shared" ca="1" si="355"/>
        <v>35.610800000000552</v>
      </c>
      <c r="C828" s="342"/>
      <c r="D828" s="359">
        <f t="shared" ca="1" si="356"/>
        <v>-0.82494963036065605</v>
      </c>
      <c r="E828" s="360">
        <f t="shared" ca="1" si="357"/>
        <v>-3.8042314468965186</v>
      </c>
      <c r="F828" s="357">
        <f t="shared" ca="1" si="358"/>
        <v>3.892649328437968</v>
      </c>
      <c r="G828" s="359">
        <f t="shared" ca="1" si="359"/>
        <v>18.704347146885418</v>
      </c>
      <c r="H828" s="360">
        <f t="shared" ca="1" si="360"/>
        <v>-136.17169466161414</v>
      </c>
      <c r="I828" s="357">
        <f t="shared" ca="1" si="361"/>
        <v>137.45029293969174</v>
      </c>
      <c r="J828" s="359">
        <f t="shared" ca="1" si="362"/>
        <v>1009.0500868209435</v>
      </c>
      <c r="K828" s="360">
        <f t="shared" ca="1" si="363"/>
        <v>-12.430360104212083</v>
      </c>
      <c r="L828" s="357">
        <f t="shared" ca="1" si="348"/>
        <v>1009.1266479316033</v>
      </c>
      <c r="M828" s="359">
        <f t="shared" ca="1" si="364"/>
        <v>-1.4342919878384432</v>
      </c>
      <c r="N828" s="357">
        <f t="shared" ca="1" si="365"/>
        <v>-82.178877492571999</v>
      </c>
      <c r="O828" s="343"/>
      <c r="P828" s="363">
        <f t="shared" ca="1" si="366"/>
        <v>23</v>
      </c>
      <c r="Q828" s="357">
        <f t="shared" ca="1" si="367"/>
        <v>0</v>
      </c>
      <c r="R828" s="359">
        <f t="shared" ca="1" si="368"/>
        <v>0</v>
      </c>
      <c r="S828" s="360">
        <f t="shared" ca="1" si="369"/>
        <v>8.6519999999999992</v>
      </c>
      <c r="T828" s="357">
        <f t="shared" ca="1" si="349"/>
        <v>84.87612</v>
      </c>
      <c r="U828" s="364">
        <f t="shared" ca="1" si="350"/>
        <v>0</v>
      </c>
      <c r="V828" s="359">
        <f t="shared" ca="1" si="351"/>
        <v>1.2265236660986802</v>
      </c>
      <c r="W828" s="357">
        <f t="shared" ca="1" si="352"/>
        <v>52.450168755259959</v>
      </c>
      <c r="X828" s="343"/>
      <c r="Y828" s="367" t="str">
        <f t="shared" ca="1" si="370"/>
        <v/>
      </c>
      <c r="Z828" s="368" t="str">
        <f t="shared" ca="1" si="371"/>
        <v/>
      </c>
      <c r="AA828" s="369" t="str">
        <f t="shared" ca="1" si="372"/>
        <v/>
      </c>
      <c r="AB828" s="344"/>
      <c r="AC828" s="363" t="e">
        <f t="shared" ca="1" si="373"/>
        <v>#N/A</v>
      </c>
      <c r="AD828" s="376" t="e">
        <f t="shared" ca="1" si="374"/>
        <v>#N/A</v>
      </c>
      <c r="AE828" s="377" t="e">
        <f t="shared" ca="1" si="353"/>
        <v>#N/A</v>
      </c>
      <c r="AF828" s="344"/>
      <c r="AG828" s="359">
        <f t="shared" ca="1" si="375"/>
        <v>3.6565823890408122</v>
      </c>
      <c r="AH828" s="357">
        <f t="shared" ca="1" si="376"/>
        <v>-6.0621611497945906</v>
      </c>
    </row>
    <row r="829" spans="1:34" x14ac:dyDescent="0.25">
      <c r="A829" s="402">
        <f t="shared" ca="1" si="354"/>
        <v>1E-4</v>
      </c>
      <c r="B829" s="357">
        <f t="shared" ca="1" si="355"/>
        <v>35.610900000000555</v>
      </c>
      <c r="C829" s="342"/>
      <c r="D829" s="359">
        <f t="shared" ca="1" si="356"/>
        <v>-0.82494930991201043</v>
      </c>
      <c r="E829" s="360">
        <f t="shared" ca="1" si="357"/>
        <v>-3.804190513120739</v>
      </c>
      <c r="F829" s="357">
        <f t="shared" ca="1" si="358"/>
        <v>3.8926092565324524</v>
      </c>
      <c r="G829" s="359">
        <f t="shared" ca="1" si="359"/>
        <v>18.704264651954428</v>
      </c>
      <c r="H829" s="360">
        <f t="shared" ca="1" si="360"/>
        <v>-136.17207508066545</v>
      </c>
      <c r="I829" s="357">
        <f t="shared" ca="1" si="361"/>
        <v>137.45065859407418</v>
      </c>
      <c r="J829" s="359">
        <f t="shared" ca="1" si="362"/>
        <v>1009.0500868209435</v>
      </c>
      <c r="K829" s="360">
        <f t="shared" ca="1" si="363"/>
        <v>-12.443977292699197</v>
      </c>
      <c r="L829" s="357">
        <f t="shared" ca="1" si="348"/>
        <v>1009.1268157591567</v>
      </c>
      <c r="M829" s="359">
        <f t="shared" ca="1" si="364"/>
        <v>-1.4342929590616853</v>
      </c>
      <c r="N829" s="357">
        <f t="shared" ca="1" si="365"/>
        <v>-82.178933139564734</v>
      </c>
      <c r="O829" s="343"/>
      <c r="P829" s="363">
        <f t="shared" ca="1" si="366"/>
        <v>23</v>
      </c>
      <c r="Q829" s="357">
        <f t="shared" ca="1" si="367"/>
        <v>0</v>
      </c>
      <c r="R829" s="359">
        <f t="shared" ca="1" si="368"/>
        <v>0</v>
      </c>
      <c r="S829" s="360">
        <f t="shared" ca="1" si="369"/>
        <v>8.6519999999999992</v>
      </c>
      <c r="T829" s="357">
        <f t="shared" ca="1" si="349"/>
        <v>84.87612</v>
      </c>
      <c r="U829" s="364">
        <f t="shared" ca="1" si="350"/>
        <v>0</v>
      </c>
      <c r="V829" s="359">
        <f t="shared" ca="1" si="351"/>
        <v>1.2265253362808581</v>
      </c>
      <c r="W829" s="357">
        <f t="shared" ca="1" si="352"/>
        <v>52.450519241303731</v>
      </c>
      <c r="X829" s="343"/>
      <c r="Y829" s="367" t="str">
        <f t="shared" ca="1" si="370"/>
        <v/>
      </c>
      <c r="Z829" s="368" t="str">
        <f t="shared" ca="1" si="371"/>
        <v/>
      </c>
      <c r="AA829" s="369" t="str">
        <f t="shared" ca="1" si="372"/>
        <v/>
      </c>
      <c r="AB829" s="344"/>
      <c r="AC829" s="363" t="e">
        <f t="shared" ca="1" si="373"/>
        <v>#N/A</v>
      </c>
      <c r="AD829" s="376" t="e">
        <f t="shared" ca="1" si="374"/>
        <v>#N/A</v>
      </c>
      <c r="AE829" s="377" t="e">
        <f t="shared" ca="1" si="353"/>
        <v>#N/A</v>
      </c>
      <c r="AF829" s="344"/>
      <c r="AG829" s="359">
        <f t="shared" ca="1" si="375"/>
        <v>3.6565431762057319</v>
      </c>
      <c r="AH829" s="357">
        <f t="shared" ca="1" si="376"/>
        <v>-6.0622016591839998</v>
      </c>
    </row>
    <row r="830" spans="1:34" x14ac:dyDescent="0.25">
      <c r="A830" s="402">
        <f t="shared" ca="1" si="354"/>
        <v>1E-4</v>
      </c>
      <c r="B830" s="357">
        <f t="shared" ca="1" si="355"/>
        <v>35.611000000000558</v>
      </c>
      <c r="C830" s="342"/>
      <c r="D830" s="359">
        <f t="shared" ca="1" si="356"/>
        <v>-0.82494898942262107</v>
      </c>
      <c r="E830" s="360">
        <f t="shared" ca="1" si="357"/>
        <v>-3.8041495794843634</v>
      </c>
      <c r="F830" s="357">
        <f t="shared" ca="1" si="358"/>
        <v>3.8925691847725021</v>
      </c>
      <c r="G830" s="359">
        <f t="shared" ca="1" si="359"/>
        <v>18.704182157055484</v>
      </c>
      <c r="H830" s="360">
        <f t="shared" ca="1" si="360"/>
        <v>-136.17245549562341</v>
      </c>
      <c r="I830" s="357">
        <f t="shared" ca="1" si="361"/>
        <v>137.45102424453538</v>
      </c>
      <c r="J830" s="359">
        <f t="shared" ca="1" si="362"/>
        <v>1009.0500868209435</v>
      </c>
      <c r="K830" s="360">
        <f t="shared" ca="1" si="363"/>
        <v>-12.457594519228012</v>
      </c>
      <c r="L830" s="357">
        <f t="shared" ca="1" si="348"/>
        <v>1009.1269837709024</v>
      </c>
      <c r="M830" s="359">
        <f t="shared" ca="1" si="364"/>
        <v>-1.4342939302754762</v>
      </c>
      <c r="N830" s="357">
        <f t="shared" ca="1" si="365"/>
        <v>-82.178988786015964</v>
      </c>
      <c r="O830" s="343"/>
      <c r="P830" s="363">
        <f t="shared" ca="1" si="366"/>
        <v>23</v>
      </c>
      <c r="Q830" s="357">
        <f t="shared" ca="1" si="367"/>
        <v>0</v>
      </c>
      <c r="R830" s="359">
        <f t="shared" ca="1" si="368"/>
        <v>0</v>
      </c>
      <c r="S830" s="360">
        <f t="shared" ca="1" si="369"/>
        <v>8.6519999999999992</v>
      </c>
      <c r="T830" s="357">
        <f t="shared" ca="1" si="349"/>
        <v>84.87612</v>
      </c>
      <c r="U830" s="364">
        <f t="shared" ca="1" si="350"/>
        <v>0</v>
      </c>
      <c r="V830" s="359">
        <f t="shared" ca="1" si="351"/>
        <v>1.2265270064699769</v>
      </c>
      <c r="W830" s="357">
        <f t="shared" ca="1" si="352"/>
        <v>52.450869726154039</v>
      </c>
      <c r="X830" s="343"/>
      <c r="Y830" s="367" t="str">
        <f t="shared" ca="1" si="370"/>
        <v/>
      </c>
      <c r="Z830" s="368" t="str">
        <f t="shared" ca="1" si="371"/>
        <v/>
      </c>
      <c r="AA830" s="369" t="str">
        <f t="shared" ca="1" si="372"/>
        <v/>
      </c>
      <c r="AB830" s="344"/>
      <c r="AC830" s="363" t="e">
        <f t="shared" ca="1" si="373"/>
        <v>#N/A</v>
      </c>
      <c r="AD830" s="376" t="e">
        <f t="shared" ca="1" si="374"/>
        <v>#N/A</v>
      </c>
      <c r="AE830" s="377" t="e">
        <f t="shared" ca="1" si="353"/>
        <v>#N/A</v>
      </c>
      <c r="AF830" s="344"/>
      <c r="AG830" s="359">
        <f t="shared" ca="1" si="375"/>
        <v>3.6565039634868031</v>
      </c>
      <c r="AH830" s="357">
        <f t="shared" ca="1" si="376"/>
        <v>-6.0622421684354757</v>
      </c>
    </row>
    <row r="831" spans="1:34" x14ac:dyDescent="0.25">
      <c r="A831" s="402">
        <f t="shared" ca="1" si="354"/>
        <v>1E-4</v>
      </c>
      <c r="B831" s="357">
        <f t="shared" ca="1" si="355"/>
        <v>35.611100000000562</v>
      </c>
      <c r="C831" s="342"/>
      <c r="D831" s="359">
        <f t="shared" ca="1" si="356"/>
        <v>-0.82494866889248997</v>
      </c>
      <c r="E831" s="360">
        <f t="shared" ca="1" si="357"/>
        <v>-3.804108645987399</v>
      </c>
      <c r="F831" s="357">
        <f t="shared" ca="1" si="358"/>
        <v>3.8925291131581243</v>
      </c>
      <c r="G831" s="359">
        <f t="shared" ca="1" si="359"/>
        <v>18.704099662188597</v>
      </c>
      <c r="H831" s="360">
        <f t="shared" ca="1" si="360"/>
        <v>-136.17283590648802</v>
      </c>
      <c r="I831" s="357">
        <f t="shared" ca="1" si="361"/>
        <v>137.45138989107531</v>
      </c>
      <c r="J831" s="359">
        <f t="shared" ca="1" si="362"/>
        <v>1009.0500868209435</v>
      </c>
      <c r="K831" s="360">
        <f t="shared" ca="1" si="363"/>
        <v>-12.471211783798118</v>
      </c>
      <c r="L831" s="357">
        <f t="shared" ca="1" si="348"/>
        <v>1009.1271519668421</v>
      </c>
      <c r="M831" s="359">
        <f t="shared" ca="1" si="364"/>
        <v>-1.4342949014798165</v>
      </c>
      <c r="N831" s="357">
        <f t="shared" ca="1" si="365"/>
        <v>-82.179044431925703</v>
      </c>
      <c r="O831" s="343"/>
      <c r="P831" s="363">
        <f t="shared" ca="1" si="366"/>
        <v>23</v>
      </c>
      <c r="Q831" s="357">
        <f t="shared" ca="1" si="367"/>
        <v>0</v>
      </c>
      <c r="R831" s="359">
        <f t="shared" ca="1" si="368"/>
        <v>0</v>
      </c>
      <c r="S831" s="360">
        <f t="shared" ca="1" si="369"/>
        <v>8.6519999999999992</v>
      </c>
      <c r="T831" s="357">
        <f t="shared" ca="1" si="349"/>
        <v>84.87612</v>
      </c>
      <c r="U831" s="364">
        <f t="shared" ca="1" si="350"/>
        <v>0</v>
      </c>
      <c r="V831" s="359">
        <f t="shared" ca="1" si="351"/>
        <v>1.2265286766660379</v>
      </c>
      <c r="W831" s="357">
        <f t="shared" ca="1" si="352"/>
        <v>52.451220209810927</v>
      </c>
      <c r="X831" s="343"/>
      <c r="Y831" s="367" t="str">
        <f t="shared" ca="1" si="370"/>
        <v/>
      </c>
      <c r="Z831" s="368" t="str">
        <f t="shared" ca="1" si="371"/>
        <v/>
      </c>
      <c r="AA831" s="369" t="str">
        <f t="shared" ca="1" si="372"/>
        <v/>
      </c>
      <c r="AB831" s="344"/>
      <c r="AC831" s="363" t="e">
        <f t="shared" ca="1" si="373"/>
        <v>#N/A</v>
      </c>
      <c r="AD831" s="376" t="e">
        <f t="shared" ca="1" si="374"/>
        <v>#N/A</v>
      </c>
      <c r="AE831" s="377" t="e">
        <f t="shared" ca="1" si="353"/>
        <v>#N/A</v>
      </c>
      <c r="AF831" s="344"/>
      <c r="AG831" s="359">
        <f t="shared" ca="1" si="375"/>
        <v>3.6564647508840311</v>
      </c>
      <c r="AH831" s="357">
        <f t="shared" ca="1" si="376"/>
        <v>-6.0622826775490113</v>
      </c>
    </row>
    <row r="832" spans="1:34" x14ac:dyDescent="0.25">
      <c r="A832" s="402">
        <f t="shared" ca="1" si="354"/>
        <v>1E-4</v>
      </c>
      <c r="B832" s="357">
        <f t="shared" ca="1" si="355"/>
        <v>35.611200000000565</v>
      </c>
      <c r="C832" s="342"/>
      <c r="D832" s="359">
        <f t="shared" ca="1" si="356"/>
        <v>-0.82494834832161668</v>
      </c>
      <c r="E832" s="360">
        <f t="shared" ca="1" si="357"/>
        <v>-3.8040677126298412</v>
      </c>
      <c r="F832" s="357">
        <f t="shared" ca="1" si="358"/>
        <v>3.8924890416893141</v>
      </c>
      <c r="G832" s="359">
        <f t="shared" ca="1" si="359"/>
        <v>18.704017167353765</v>
      </c>
      <c r="H832" s="360">
        <f t="shared" ca="1" si="360"/>
        <v>-136.17321631325927</v>
      </c>
      <c r="I832" s="357">
        <f t="shared" ca="1" si="361"/>
        <v>137.45175553369396</v>
      </c>
      <c r="J832" s="359">
        <f t="shared" ca="1" si="362"/>
        <v>1009.0500868209435</v>
      </c>
      <c r="K832" s="360">
        <f t="shared" ca="1" si="363"/>
        <v>-12.484829086409105</v>
      </c>
      <c r="L832" s="357">
        <f t="shared" ca="1" si="348"/>
        <v>1009.1273203469771</v>
      </c>
      <c r="M832" s="359">
        <f t="shared" ca="1" si="364"/>
        <v>-1.4342958726747062</v>
      </c>
      <c r="N832" s="357">
        <f t="shared" ca="1" si="365"/>
        <v>-82.179100077293967</v>
      </c>
      <c r="O832" s="343"/>
      <c r="P832" s="363">
        <f t="shared" ca="1" si="366"/>
        <v>23</v>
      </c>
      <c r="Q832" s="357">
        <f t="shared" ca="1" si="367"/>
        <v>0</v>
      </c>
      <c r="R832" s="359">
        <f t="shared" ca="1" si="368"/>
        <v>0</v>
      </c>
      <c r="S832" s="360">
        <f t="shared" ca="1" si="369"/>
        <v>8.6519999999999992</v>
      </c>
      <c r="T832" s="357">
        <f t="shared" ca="1" si="349"/>
        <v>84.87612</v>
      </c>
      <c r="U832" s="364">
        <f t="shared" ca="1" si="350"/>
        <v>0</v>
      </c>
      <c r="V832" s="359">
        <f t="shared" ca="1" si="351"/>
        <v>1.2265303468690405</v>
      </c>
      <c r="W832" s="357">
        <f t="shared" ca="1" si="352"/>
        <v>52.451570692274281</v>
      </c>
      <c r="X832" s="343"/>
      <c r="Y832" s="367" t="str">
        <f t="shared" ca="1" si="370"/>
        <v/>
      </c>
      <c r="Z832" s="368" t="str">
        <f t="shared" ca="1" si="371"/>
        <v/>
      </c>
      <c r="AA832" s="369" t="str">
        <f t="shared" ca="1" si="372"/>
        <v/>
      </c>
      <c r="AB832" s="344"/>
      <c r="AC832" s="363" t="e">
        <f t="shared" ca="1" si="373"/>
        <v>#N/A</v>
      </c>
      <c r="AD832" s="376" t="e">
        <f t="shared" ca="1" si="374"/>
        <v>#N/A</v>
      </c>
      <c r="AE832" s="377" t="e">
        <f t="shared" ca="1" si="353"/>
        <v>#N/A</v>
      </c>
      <c r="AF832" s="344"/>
      <c r="AG832" s="359">
        <f t="shared" ca="1" si="375"/>
        <v>3.6564255383974098</v>
      </c>
      <c r="AH832" s="357">
        <f t="shared" ca="1" si="376"/>
        <v>-6.062323186524611</v>
      </c>
    </row>
    <row r="833" spans="1:34" x14ac:dyDescent="0.25">
      <c r="A833" s="402">
        <f t="shared" ca="1" si="354"/>
        <v>1E-4</v>
      </c>
      <c r="B833" s="357">
        <f t="shared" ca="1" si="355"/>
        <v>35.611300000000568</v>
      </c>
      <c r="C833" s="342"/>
      <c r="D833" s="359">
        <f t="shared" ca="1" si="356"/>
        <v>-0.82494802771000109</v>
      </c>
      <c r="E833" s="360">
        <f t="shared" ca="1" si="357"/>
        <v>-3.8040267794117044</v>
      </c>
      <c r="F833" s="357">
        <f t="shared" ca="1" si="358"/>
        <v>3.8924489703660861</v>
      </c>
      <c r="G833" s="359">
        <f t="shared" ca="1" si="359"/>
        <v>18.703934672550993</v>
      </c>
      <c r="H833" s="360">
        <f t="shared" ca="1" si="360"/>
        <v>-136.17359671593721</v>
      </c>
      <c r="I833" s="357">
        <f t="shared" ca="1" si="361"/>
        <v>137.45212117239137</v>
      </c>
      <c r="J833" s="359">
        <f t="shared" ca="1" si="362"/>
        <v>1009.0500868209435</v>
      </c>
      <c r="K833" s="360">
        <f t="shared" ca="1" si="363"/>
        <v>-12.498446427060564</v>
      </c>
      <c r="L833" s="357">
        <f t="shared" ca="1" si="348"/>
        <v>1009.1274889113089</v>
      </c>
      <c r="M833" s="359">
        <f t="shared" ca="1" si="364"/>
        <v>-1.4342968438601456</v>
      </c>
      <c r="N833" s="357">
        <f t="shared" ca="1" si="365"/>
        <v>-82.179155722120768</v>
      </c>
      <c r="O833" s="343"/>
      <c r="P833" s="363">
        <f t="shared" ca="1" si="366"/>
        <v>23</v>
      </c>
      <c r="Q833" s="357">
        <f t="shared" ca="1" si="367"/>
        <v>0</v>
      </c>
      <c r="R833" s="359">
        <f t="shared" ca="1" si="368"/>
        <v>0</v>
      </c>
      <c r="S833" s="360">
        <f t="shared" ca="1" si="369"/>
        <v>8.6519999999999992</v>
      </c>
      <c r="T833" s="357">
        <f t="shared" ca="1" si="349"/>
        <v>84.87612</v>
      </c>
      <c r="U833" s="364">
        <f t="shared" ca="1" si="350"/>
        <v>0</v>
      </c>
      <c r="V833" s="359">
        <f t="shared" ca="1" si="351"/>
        <v>1.2265320170789844</v>
      </c>
      <c r="W833" s="357">
        <f t="shared" ca="1" si="352"/>
        <v>52.451921173544129</v>
      </c>
      <c r="X833" s="343"/>
      <c r="Y833" s="367" t="str">
        <f t="shared" ca="1" si="370"/>
        <v/>
      </c>
      <c r="Z833" s="368" t="str">
        <f t="shared" ca="1" si="371"/>
        <v/>
      </c>
      <c r="AA833" s="369" t="str">
        <f t="shared" ca="1" si="372"/>
        <v/>
      </c>
      <c r="AB833" s="344"/>
      <c r="AC833" s="363" t="e">
        <f t="shared" ca="1" si="373"/>
        <v>#N/A</v>
      </c>
      <c r="AD833" s="376" t="e">
        <f t="shared" ca="1" si="374"/>
        <v>#N/A</v>
      </c>
      <c r="AE833" s="377" t="e">
        <f t="shared" ca="1" si="353"/>
        <v>#N/A</v>
      </c>
      <c r="AF833" s="344"/>
      <c r="AG833" s="359">
        <f t="shared" ca="1" si="375"/>
        <v>3.656386326026956</v>
      </c>
      <c r="AH833" s="357">
        <f t="shared" ca="1" si="376"/>
        <v>-6.0623636953622615</v>
      </c>
    </row>
    <row r="834" spans="1:34" x14ac:dyDescent="0.25">
      <c r="A834" s="402">
        <f t="shared" ca="1" si="354"/>
        <v>1E-4</v>
      </c>
      <c r="B834" s="357">
        <f t="shared" ca="1" si="355"/>
        <v>35.611400000000572</v>
      </c>
      <c r="C834" s="342"/>
      <c r="D834" s="359">
        <f t="shared" ca="1" si="356"/>
        <v>-0.8249477070576422</v>
      </c>
      <c r="E834" s="360">
        <f t="shared" ca="1" si="357"/>
        <v>-3.8039858463329832</v>
      </c>
      <c r="F834" s="357">
        <f t="shared" ca="1" si="358"/>
        <v>3.8924088991884349</v>
      </c>
      <c r="G834" s="359">
        <f t="shared" ca="1" si="359"/>
        <v>18.703852177780288</v>
      </c>
      <c r="H834" s="360">
        <f t="shared" ca="1" si="360"/>
        <v>-136.17397711452185</v>
      </c>
      <c r="I834" s="357">
        <f t="shared" ca="1" si="361"/>
        <v>137.45248680716756</v>
      </c>
      <c r="J834" s="359">
        <f t="shared" ca="1" si="362"/>
        <v>1009.0500868209435</v>
      </c>
      <c r="K834" s="360">
        <f t="shared" ca="1" si="363"/>
        <v>-12.512063805752087</v>
      </c>
      <c r="L834" s="357">
        <f t="shared" ca="1" si="348"/>
        <v>1009.1276576598389</v>
      </c>
      <c r="M834" s="359">
        <f t="shared" ca="1" si="364"/>
        <v>-1.4342978150361343</v>
      </c>
      <c r="N834" s="357">
        <f t="shared" ca="1" si="365"/>
        <v>-82.179211366406079</v>
      </c>
      <c r="O834" s="343"/>
      <c r="P834" s="363">
        <f t="shared" ca="1" si="366"/>
        <v>23</v>
      </c>
      <c r="Q834" s="357">
        <f t="shared" ca="1" si="367"/>
        <v>0</v>
      </c>
      <c r="R834" s="359">
        <f t="shared" ca="1" si="368"/>
        <v>0</v>
      </c>
      <c r="S834" s="360">
        <f t="shared" ca="1" si="369"/>
        <v>8.6519999999999992</v>
      </c>
      <c r="T834" s="357">
        <f t="shared" ca="1" si="349"/>
        <v>84.87612</v>
      </c>
      <c r="U834" s="364">
        <f t="shared" ca="1" si="350"/>
        <v>0</v>
      </c>
      <c r="V834" s="359">
        <f t="shared" ca="1" si="351"/>
        <v>1.2265336872958699</v>
      </c>
      <c r="W834" s="357">
        <f t="shared" ca="1" si="352"/>
        <v>52.45227165362045</v>
      </c>
      <c r="X834" s="343"/>
      <c r="Y834" s="367" t="str">
        <f t="shared" ca="1" si="370"/>
        <v/>
      </c>
      <c r="Z834" s="368" t="str">
        <f t="shared" ca="1" si="371"/>
        <v/>
      </c>
      <c r="AA834" s="369" t="str">
        <f t="shared" ca="1" si="372"/>
        <v/>
      </c>
      <c r="AB834" s="344"/>
      <c r="AC834" s="363" t="e">
        <f t="shared" ca="1" si="373"/>
        <v>#N/A</v>
      </c>
      <c r="AD834" s="376" t="e">
        <f t="shared" ca="1" si="374"/>
        <v>#N/A</v>
      </c>
      <c r="AE834" s="377" t="e">
        <f t="shared" ca="1" si="353"/>
        <v>#N/A</v>
      </c>
      <c r="AF834" s="344"/>
      <c r="AG834" s="359">
        <f t="shared" ca="1" si="375"/>
        <v>3.6563471137726644</v>
      </c>
      <c r="AH834" s="357">
        <f t="shared" ca="1" si="376"/>
        <v>-6.0624042040619663</v>
      </c>
    </row>
    <row r="835" spans="1:34" x14ac:dyDescent="0.25">
      <c r="A835" s="402">
        <f t="shared" ca="1" si="354"/>
        <v>1E-4</v>
      </c>
      <c r="B835" s="357">
        <f t="shared" ca="1" si="355"/>
        <v>35.611500000000575</v>
      </c>
      <c r="C835" s="342"/>
      <c r="D835" s="359">
        <f t="shared" ca="1" si="356"/>
        <v>-0.82494738636454423</v>
      </c>
      <c r="E835" s="360">
        <f t="shared" ca="1" si="357"/>
        <v>-3.8039449133936802</v>
      </c>
      <c r="F835" s="357">
        <f t="shared" ca="1" si="358"/>
        <v>3.8923688281563638</v>
      </c>
      <c r="G835" s="359">
        <f t="shared" ca="1" si="359"/>
        <v>18.703769683041653</v>
      </c>
      <c r="H835" s="360">
        <f t="shared" ca="1" si="360"/>
        <v>-136.17435750901319</v>
      </c>
      <c r="I835" s="357">
        <f t="shared" ca="1" si="361"/>
        <v>137.45285243802257</v>
      </c>
      <c r="J835" s="359">
        <f t="shared" ca="1" si="362"/>
        <v>1009.0500868209435</v>
      </c>
      <c r="K835" s="360">
        <f t="shared" ca="1" si="363"/>
        <v>-12.525681222483264</v>
      </c>
      <c r="L835" s="357">
        <f t="shared" ca="1" si="348"/>
        <v>1009.1278265925685</v>
      </c>
      <c r="M835" s="359">
        <f t="shared" ca="1" si="364"/>
        <v>-1.434298786202673</v>
      </c>
      <c r="N835" s="357">
        <f t="shared" ca="1" si="365"/>
        <v>-82.179267010149957</v>
      </c>
      <c r="O835" s="343"/>
      <c r="P835" s="363">
        <f t="shared" ca="1" si="366"/>
        <v>23</v>
      </c>
      <c r="Q835" s="357">
        <f t="shared" ca="1" si="367"/>
        <v>0</v>
      </c>
      <c r="R835" s="359">
        <f t="shared" ca="1" si="368"/>
        <v>0</v>
      </c>
      <c r="S835" s="360">
        <f t="shared" ca="1" si="369"/>
        <v>8.6519999999999992</v>
      </c>
      <c r="T835" s="357">
        <f t="shared" ca="1" si="349"/>
        <v>84.87612</v>
      </c>
      <c r="U835" s="364">
        <f t="shared" ca="1" si="350"/>
        <v>0</v>
      </c>
      <c r="V835" s="359">
        <f t="shared" ca="1" si="351"/>
        <v>1.2265353575196969</v>
      </c>
      <c r="W835" s="357">
        <f t="shared" ca="1" si="352"/>
        <v>52.452622132503258</v>
      </c>
      <c r="X835" s="343"/>
      <c r="Y835" s="367" t="str">
        <f t="shared" ca="1" si="370"/>
        <v/>
      </c>
      <c r="Z835" s="368" t="str">
        <f t="shared" ca="1" si="371"/>
        <v/>
      </c>
      <c r="AA835" s="369" t="str">
        <f t="shared" ca="1" si="372"/>
        <v/>
      </c>
      <c r="AB835" s="344"/>
      <c r="AC835" s="363" t="e">
        <f t="shared" ca="1" si="373"/>
        <v>#N/A</v>
      </c>
      <c r="AD835" s="376" t="e">
        <f t="shared" ca="1" si="374"/>
        <v>#N/A</v>
      </c>
      <c r="AE835" s="377" t="e">
        <f t="shared" ca="1" si="353"/>
        <v>#N/A</v>
      </c>
      <c r="AF835" s="344"/>
      <c r="AG835" s="359">
        <f t="shared" ca="1" si="375"/>
        <v>3.6563079016345403</v>
      </c>
      <c r="AH835" s="357">
        <f t="shared" ca="1" si="376"/>
        <v>-6.0624447126237238</v>
      </c>
    </row>
    <row r="836" spans="1:34" x14ac:dyDescent="0.25">
      <c r="A836" s="402">
        <f t="shared" ca="1" si="354"/>
        <v>1E-4</v>
      </c>
      <c r="B836" s="357">
        <f t="shared" ca="1" si="355"/>
        <v>35.611600000000578</v>
      </c>
      <c r="C836" s="342"/>
      <c r="D836" s="359">
        <f t="shared" ca="1" si="356"/>
        <v>-0.82494706563070463</v>
      </c>
      <c r="E836" s="360">
        <f t="shared" ca="1" si="357"/>
        <v>-3.8039039805937955</v>
      </c>
      <c r="F836" s="357">
        <f t="shared" ca="1" si="358"/>
        <v>3.892328757269873</v>
      </c>
      <c r="G836" s="359">
        <f t="shared" ca="1" si="359"/>
        <v>18.703687188335088</v>
      </c>
      <c r="H836" s="360">
        <f t="shared" ca="1" si="360"/>
        <v>-136.17473789941124</v>
      </c>
      <c r="I836" s="357">
        <f t="shared" ca="1" si="361"/>
        <v>137.45321806495633</v>
      </c>
      <c r="J836" s="359">
        <f t="shared" ca="1" si="362"/>
        <v>1009.0500868209435</v>
      </c>
      <c r="K836" s="360">
        <f t="shared" ca="1" si="363"/>
        <v>-12.539298677253685</v>
      </c>
      <c r="L836" s="357">
        <f t="shared" ref="L836:L899" ca="1" si="377">SQRT(pos_x^2+pos_z^2)</f>
        <v>1009.1279957094993</v>
      </c>
      <c r="M836" s="359">
        <f t="shared" ca="1" si="364"/>
        <v>-1.4342997573597618</v>
      </c>
      <c r="N836" s="357">
        <f t="shared" ca="1" si="365"/>
        <v>-82.179322653352386</v>
      </c>
      <c r="O836" s="343"/>
      <c r="P836" s="363">
        <f t="shared" ca="1" si="366"/>
        <v>23</v>
      </c>
      <c r="Q836" s="357">
        <f t="shared" ca="1" si="367"/>
        <v>0</v>
      </c>
      <c r="R836" s="359">
        <f t="shared" ca="1" si="368"/>
        <v>0</v>
      </c>
      <c r="S836" s="360">
        <f t="shared" ca="1" si="369"/>
        <v>8.6519999999999992</v>
      </c>
      <c r="T836" s="357">
        <f t="shared" ref="T836:T899" ca="1" si="378">m*g</f>
        <v>84.87612</v>
      </c>
      <c r="U836" s="364">
        <f t="shared" ref="U836:U899" ca="1" si="379">IF(pos_xz&lt;L_rampe,Poids*COS(Beta),0)</f>
        <v>0</v>
      </c>
      <c r="V836" s="359">
        <f t="shared" ref="V836:V899" ca="1" si="380">Rho_moyen*(20000-Alt_rampe-pos_z)/(20000+Alt_rampe+pos_z)</f>
        <v>1.2265370277504655</v>
      </c>
      <c r="W836" s="357">
        <f t="shared" ref="W836:W899" ca="1" si="381">1/2*Rho*Sref*Cx*vit_xz^2</f>
        <v>52.452972610192454</v>
      </c>
      <c r="X836" s="343"/>
      <c r="Y836" s="367" t="str">
        <f t="shared" ca="1" si="370"/>
        <v/>
      </c>
      <c r="Z836" s="368" t="str">
        <f t="shared" ca="1" si="371"/>
        <v/>
      </c>
      <c r="AA836" s="369" t="str">
        <f t="shared" ca="1" si="372"/>
        <v/>
      </c>
      <c r="AB836" s="344"/>
      <c r="AC836" s="363" t="e">
        <f t="shared" ca="1" si="373"/>
        <v>#N/A</v>
      </c>
      <c r="AD836" s="376" t="e">
        <f t="shared" ca="1" si="374"/>
        <v>#N/A</v>
      </c>
      <c r="AE836" s="377" t="e">
        <f t="shared" ref="AE836:AE899" ca="1" si="382">IF(t&lt;T_para, pos_z, NA())</f>
        <v>#N/A</v>
      </c>
      <c r="AF836" s="344"/>
      <c r="AG836" s="359">
        <f t="shared" ca="1" si="375"/>
        <v>3.656268689612582</v>
      </c>
      <c r="AH836" s="357">
        <f t="shared" ca="1" si="376"/>
        <v>-6.0624852210475337</v>
      </c>
    </row>
    <row r="837" spans="1:34" x14ac:dyDescent="0.25">
      <c r="A837" s="402">
        <f t="shared" ref="A837:A900" ca="1" si="383">IF(B836+0.01&lt;=T_ini+ROUNDUP(Temps_fin_propu,0), 0.01, IF(K836&gt;0, 0.1, 0.0001))</f>
        <v>1E-4</v>
      </c>
      <c r="B837" s="357">
        <f t="shared" ref="B837:B900" ca="1" si="384">B836+pas</f>
        <v>35.611700000000582</v>
      </c>
      <c r="C837" s="342"/>
      <c r="D837" s="359">
        <f t="shared" ref="D837:D900" ca="1" si="385">IF(AND(L836&lt;L_rampe,Poussee&lt;Poids*SIN(M836)),0,(-W836+Poussee)/m*COS(M836)-U836/m*SIN(M836))</f>
        <v>-0.82494674485612374</v>
      </c>
      <c r="E837" s="360">
        <f t="shared" ref="E837:E900" ca="1" si="386">IF(AND(L836&lt;L_rampe,Poussee&lt;Poids*SIN(M836)),0,(-W836+Poussee)/m*SIN(M836)+U836/m*COS(M836)-Poids/m)</f>
        <v>-3.8038630479333406</v>
      </c>
      <c r="F837" s="357">
        <f t="shared" ref="F837:F900" ca="1" si="387">SQRT(acc_x^2+acc_z^2)</f>
        <v>3.892288686528973</v>
      </c>
      <c r="G837" s="359">
        <f t="shared" ref="G837:G900" ca="1" si="388">G836+acc_x*pas</f>
        <v>18.703604693660601</v>
      </c>
      <c r="H837" s="360">
        <f t="shared" ref="H837:H900" ca="1" si="389">H836+acc_z*pas</f>
        <v>-136.17511828571602</v>
      </c>
      <c r="I837" s="357">
        <f t="shared" ref="I837:I900" ca="1" si="390">SQRT(vit_x^2+vit_z^2)</f>
        <v>137.45358368796892</v>
      </c>
      <c r="J837" s="359">
        <f t="shared" ref="J837:J900" ca="1" si="391">J836+0.5*(vit_x+G836)*pas*(K836&gt;=0)</f>
        <v>1009.0500868209435</v>
      </c>
      <c r="K837" s="360">
        <f t="shared" ref="K837:K900" ca="1" si="392">K836+0.5*(vit_z+H836)*pas</f>
        <v>-12.552916170062941</v>
      </c>
      <c r="L837" s="357">
        <f t="shared" ca="1" si="377"/>
        <v>1009.1281650106325</v>
      </c>
      <c r="M837" s="359">
        <f t="shared" ref="M837:M900" ca="1" si="393">IF(AND(L836&gt;L_rampe,G837&gt;0),ATAN2(G837,H837),$M$4)</f>
        <v>-1.4343007285074005</v>
      </c>
      <c r="N837" s="357">
        <f t="shared" ref="N837:N900" ca="1" si="394">DEGREES(Beta)</f>
        <v>-82.179378296013368</v>
      </c>
      <c r="O837" s="343"/>
      <c r="P837" s="363">
        <f t="shared" ref="P837:P900" ca="1" si="395">MATCH(t-pas/2-T_ini,CdP_t)</f>
        <v>23</v>
      </c>
      <c r="Q837" s="357">
        <f t="shared" ref="Q837:Q900" ca="1" si="396">(INDEX(CdP,2,i_P+1)-INDEX(CdP,2,i_P+0))/(INDEX(CdP,1,i_P+1)-INDEX(CdP,1,i_P+0))*(t-pas/2-T_ini-INDEX(CdP,1,i_P+0))+INDEX(CdP,2,i_P+0)</f>
        <v>0</v>
      </c>
      <c r="R837" s="359">
        <f t="shared" ref="R837:R900" ca="1" si="397">Poussee/(g*ISP)</f>
        <v>0</v>
      </c>
      <c r="S837" s="360">
        <f t="shared" ref="S837:S900" ca="1" si="398">S836-Débit*pas</f>
        <v>8.6519999999999992</v>
      </c>
      <c r="T837" s="357">
        <f t="shared" ca="1" si="378"/>
        <v>84.87612</v>
      </c>
      <c r="U837" s="364">
        <f t="shared" ca="1" si="379"/>
        <v>0</v>
      </c>
      <c r="V837" s="359">
        <f t="shared" ca="1" si="380"/>
        <v>1.2265386979881754</v>
      </c>
      <c r="W837" s="357">
        <f t="shared" ca="1" si="381"/>
        <v>52.453323086688087</v>
      </c>
      <c r="X837" s="343"/>
      <c r="Y837" s="367" t="str">
        <f t="shared" ref="Y837:Y900" ca="1" si="399">IF(AND(pos_z&lt;=0,K836&gt;0),"Impact balistique","") &amp; IF(AND(H838&lt;0,vit_z&gt;=0),"Apogée","") &amp; IF(AND(Poussee=0,Q836&gt;0),"Fin de propulsion","") &amp; IF(AND(L838&gt;L_rampe,pos_xz&lt;=L_rampe),"Sortie de rampe","")</f>
        <v/>
      </c>
      <c r="Z837" s="368" t="str">
        <f t="shared" ref="Z837:Z900" ca="1" si="400">IF(ABS(t-T_para)&lt;pas/2,"Para","")</f>
        <v/>
      </c>
      <c r="AA837" s="369" t="str">
        <f t="shared" ref="AA837:AA900" ca="1" si="401">IF(ABS(t-T_satellite)&lt;pas/2,"Satellite","")</f>
        <v/>
      </c>
      <c r="AB837" s="344"/>
      <c r="AC837" s="363" t="e">
        <f t="shared" ref="AC837:AC900" ca="1" si="402">IF(ABS(t-ROUND(t,0))&lt;0.001,t,NA())</f>
        <v>#N/A</v>
      </c>
      <c r="AD837" s="376" t="e">
        <f t="shared" ref="AD837:AD900" ca="1" si="403">IF(ABS(t-ROUND(t,0))&lt;0.001,pos_x,NA())</f>
        <v>#N/A</v>
      </c>
      <c r="AE837" s="377" t="e">
        <f t="shared" ca="1" si="382"/>
        <v>#N/A</v>
      </c>
      <c r="AF837" s="344"/>
      <c r="AG837" s="359">
        <f t="shared" ref="AG837:AG900" ca="1" si="404">IF(AND(L836&lt;L_rampe,Poussee&lt;Poids*SIN(M836)),0,(-W836+Poussee)/m-Poids*SIN(M836)/m)</f>
        <v>3.6562294777067974</v>
      </c>
      <c r="AH837" s="357">
        <f t="shared" ref="AH837:AH900" ca="1" si="405">IF(AND(L836&lt;L_rampe,Poussee&lt;Poids*SIN(M836)), g*SIN(M836), (-W836+Poussee)/m)</f>
        <v>-6.0625257293333865</v>
      </c>
    </row>
    <row r="838" spans="1:34" x14ac:dyDescent="0.25">
      <c r="A838" s="402">
        <f t="shared" ca="1" si="383"/>
        <v>1E-4</v>
      </c>
      <c r="B838" s="357">
        <f t="shared" ca="1" si="384"/>
        <v>35.611800000000585</v>
      </c>
      <c r="C838" s="342"/>
      <c r="D838" s="359">
        <f t="shared" ca="1" si="385"/>
        <v>-0.82494642404080365</v>
      </c>
      <c r="E838" s="360">
        <f t="shared" ca="1" si="386"/>
        <v>-3.8038221154123075</v>
      </c>
      <c r="F838" s="357">
        <f t="shared" ca="1" si="387"/>
        <v>3.8922486159336573</v>
      </c>
      <c r="G838" s="359">
        <f t="shared" ca="1" si="388"/>
        <v>18.703522199018199</v>
      </c>
      <c r="H838" s="360">
        <f t="shared" ca="1" si="389"/>
        <v>-136.17549866792757</v>
      </c>
      <c r="I838" s="357">
        <f t="shared" ca="1" si="390"/>
        <v>137.45394930706033</v>
      </c>
      <c r="J838" s="359">
        <f t="shared" ca="1" si="391"/>
        <v>1009.0500868209435</v>
      </c>
      <c r="K838" s="360">
        <f t="shared" ca="1" si="392"/>
        <v>-12.566533700910623</v>
      </c>
      <c r="L838" s="357">
        <f t="shared" ca="1" si="377"/>
        <v>1009.1283344959697</v>
      </c>
      <c r="M838" s="359">
        <f t="shared" ca="1" si="393"/>
        <v>-1.4343016996455895</v>
      </c>
      <c r="N838" s="357">
        <f t="shared" ca="1" si="394"/>
        <v>-82.179433938132917</v>
      </c>
      <c r="O838" s="343"/>
      <c r="P838" s="363">
        <f t="shared" ca="1" si="395"/>
        <v>23</v>
      </c>
      <c r="Q838" s="357">
        <f t="shared" ca="1" si="396"/>
        <v>0</v>
      </c>
      <c r="R838" s="359">
        <f t="shared" ca="1" si="397"/>
        <v>0</v>
      </c>
      <c r="S838" s="360">
        <f t="shared" ca="1" si="398"/>
        <v>8.6519999999999992</v>
      </c>
      <c r="T838" s="357">
        <f t="shared" ca="1" si="378"/>
        <v>84.87612</v>
      </c>
      <c r="U838" s="364">
        <f t="shared" ca="1" si="379"/>
        <v>0</v>
      </c>
      <c r="V838" s="359">
        <f t="shared" ca="1" si="380"/>
        <v>1.2265403682328273</v>
      </c>
      <c r="W838" s="357">
        <f t="shared" ca="1" si="381"/>
        <v>52.453673561990122</v>
      </c>
      <c r="X838" s="343"/>
      <c r="Y838" s="367" t="str">
        <f t="shared" ca="1" si="399"/>
        <v/>
      </c>
      <c r="Z838" s="368" t="str">
        <f t="shared" ca="1" si="400"/>
        <v/>
      </c>
      <c r="AA838" s="369" t="str">
        <f t="shared" ca="1" si="401"/>
        <v/>
      </c>
      <c r="AB838" s="344"/>
      <c r="AC838" s="363" t="e">
        <f t="shared" ca="1" si="402"/>
        <v>#N/A</v>
      </c>
      <c r="AD838" s="376" t="e">
        <f t="shared" ca="1" si="403"/>
        <v>#N/A</v>
      </c>
      <c r="AE838" s="377" t="e">
        <f t="shared" ca="1" si="382"/>
        <v>#N/A</v>
      </c>
      <c r="AF838" s="344"/>
      <c r="AG838" s="359">
        <f t="shared" ca="1" si="404"/>
        <v>3.6561902659171874</v>
      </c>
      <c r="AH838" s="357">
        <f t="shared" ca="1" si="405"/>
        <v>-6.0625662374812865</v>
      </c>
    </row>
    <row r="839" spans="1:34" x14ac:dyDescent="0.25">
      <c r="A839" s="402">
        <f t="shared" ca="1" si="383"/>
        <v>1E-4</v>
      </c>
      <c r="B839" s="357">
        <f t="shared" ca="1" si="384"/>
        <v>35.611900000000588</v>
      </c>
      <c r="C839" s="342"/>
      <c r="D839" s="359">
        <f t="shared" ca="1" si="385"/>
        <v>-0.82494610318474393</v>
      </c>
      <c r="E839" s="360">
        <f t="shared" ca="1" si="386"/>
        <v>-3.8037811830307025</v>
      </c>
      <c r="F839" s="357">
        <f t="shared" ca="1" si="387"/>
        <v>3.8922085454839319</v>
      </c>
      <c r="G839" s="359">
        <f t="shared" ca="1" si="388"/>
        <v>18.703439704407881</v>
      </c>
      <c r="H839" s="360">
        <f t="shared" ca="1" si="389"/>
        <v>-136.17587904604588</v>
      </c>
      <c r="I839" s="357">
        <f t="shared" ca="1" si="390"/>
        <v>137.45431492223057</v>
      </c>
      <c r="J839" s="359">
        <f t="shared" ca="1" si="391"/>
        <v>1009.0500868209435</v>
      </c>
      <c r="K839" s="360">
        <f t="shared" ca="1" si="392"/>
        <v>-12.580151269796323</v>
      </c>
      <c r="L839" s="357">
        <f t="shared" ca="1" si="377"/>
        <v>1009.1285041655125</v>
      </c>
      <c r="M839" s="359">
        <f t="shared" ca="1" si="393"/>
        <v>-1.4343026707743289</v>
      </c>
      <c r="N839" s="357">
        <f t="shared" ca="1" si="394"/>
        <v>-82.17948957971106</v>
      </c>
      <c r="O839" s="343"/>
      <c r="P839" s="363">
        <f t="shared" ca="1" si="395"/>
        <v>23</v>
      </c>
      <c r="Q839" s="357">
        <f t="shared" ca="1" si="396"/>
        <v>0</v>
      </c>
      <c r="R839" s="359">
        <f t="shared" ca="1" si="397"/>
        <v>0</v>
      </c>
      <c r="S839" s="360">
        <f t="shared" ca="1" si="398"/>
        <v>8.6519999999999992</v>
      </c>
      <c r="T839" s="357">
        <f t="shared" ca="1" si="378"/>
        <v>84.87612</v>
      </c>
      <c r="U839" s="364">
        <f t="shared" ca="1" si="379"/>
        <v>0</v>
      </c>
      <c r="V839" s="359">
        <f t="shared" ca="1" si="380"/>
        <v>1.2265420384844203</v>
      </c>
      <c r="W839" s="357">
        <f t="shared" ca="1" si="381"/>
        <v>52.454024036098517</v>
      </c>
      <c r="X839" s="343"/>
      <c r="Y839" s="367" t="str">
        <f t="shared" ca="1" si="399"/>
        <v/>
      </c>
      <c r="Z839" s="368" t="str">
        <f t="shared" ca="1" si="400"/>
        <v/>
      </c>
      <c r="AA839" s="369" t="str">
        <f t="shared" ca="1" si="401"/>
        <v/>
      </c>
      <c r="AB839" s="344"/>
      <c r="AC839" s="363" t="e">
        <f t="shared" ca="1" si="402"/>
        <v>#N/A</v>
      </c>
      <c r="AD839" s="376" t="e">
        <f t="shared" ca="1" si="403"/>
        <v>#N/A</v>
      </c>
      <c r="AE839" s="377" t="e">
        <f t="shared" ca="1" si="382"/>
        <v>#N/A</v>
      </c>
      <c r="AF839" s="344"/>
      <c r="AG839" s="359">
        <f t="shared" ca="1" si="404"/>
        <v>3.6561510542437539</v>
      </c>
      <c r="AH839" s="357">
        <f t="shared" ca="1" si="405"/>
        <v>-6.0626067454912302</v>
      </c>
    </row>
    <row r="840" spans="1:34" x14ac:dyDescent="0.25">
      <c r="A840" s="402">
        <f t="shared" ca="1" si="383"/>
        <v>1E-4</v>
      </c>
      <c r="B840" s="357">
        <f t="shared" ca="1" si="384"/>
        <v>35.612000000000592</v>
      </c>
      <c r="C840" s="342"/>
      <c r="D840" s="359">
        <f t="shared" ca="1" si="385"/>
        <v>-0.82494578228794457</v>
      </c>
      <c r="E840" s="360">
        <f t="shared" ca="1" si="386"/>
        <v>-3.8037402507885298</v>
      </c>
      <c r="F840" s="357">
        <f t="shared" ca="1" si="387"/>
        <v>3.8921684751798007</v>
      </c>
      <c r="G840" s="359">
        <f t="shared" ca="1" si="388"/>
        <v>18.703357209829651</v>
      </c>
      <c r="H840" s="360">
        <f t="shared" ca="1" si="389"/>
        <v>-136.17625942007095</v>
      </c>
      <c r="I840" s="357">
        <f t="shared" ca="1" si="390"/>
        <v>137.45468053347966</v>
      </c>
      <c r="J840" s="359">
        <f t="shared" ca="1" si="391"/>
        <v>1009.0500868209435</v>
      </c>
      <c r="K840" s="360">
        <f t="shared" ca="1" si="392"/>
        <v>-12.593768876719629</v>
      </c>
      <c r="L840" s="357">
        <f t="shared" ca="1" si="377"/>
        <v>1009.128674019262</v>
      </c>
      <c r="M840" s="359">
        <f t="shared" ca="1" si="393"/>
        <v>-1.434303641893619</v>
      </c>
      <c r="N840" s="357">
        <f t="shared" ca="1" si="394"/>
        <v>-82.179545220747784</v>
      </c>
      <c r="O840" s="343"/>
      <c r="P840" s="363">
        <f t="shared" ca="1" si="395"/>
        <v>23</v>
      </c>
      <c r="Q840" s="357">
        <f t="shared" ca="1" si="396"/>
        <v>0</v>
      </c>
      <c r="R840" s="359">
        <f t="shared" ca="1" si="397"/>
        <v>0</v>
      </c>
      <c r="S840" s="360">
        <f t="shared" ca="1" si="398"/>
        <v>8.6519999999999992</v>
      </c>
      <c r="T840" s="357">
        <f t="shared" ca="1" si="378"/>
        <v>84.87612</v>
      </c>
      <c r="U840" s="364">
        <f t="shared" ca="1" si="379"/>
        <v>0</v>
      </c>
      <c r="V840" s="359">
        <f t="shared" ca="1" si="380"/>
        <v>1.2265437087429543</v>
      </c>
      <c r="W840" s="357">
        <f t="shared" ca="1" si="381"/>
        <v>52.454374509013256</v>
      </c>
      <c r="X840" s="343"/>
      <c r="Y840" s="367" t="str">
        <f t="shared" ca="1" si="399"/>
        <v/>
      </c>
      <c r="Z840" s="368" t="str">
        <f t="shared" ca="1" si="400"/>
        <v/>
      </c>
      <c r="AA840" s="369" t="str">
        <f t="shared" ca="1" si="401"/>
        <v/>
      </c>
      <c r="AB840" s="344"/>
      <c r="AC840" s="363" t="e">
        <f t="shared" ca="1" si="402"/>
        <v>#N/A</v>
      </c>
      <c r="AD840" s="376" t="e">
        <f t="shared" ca="1" si="403"/>
        <v>#N/A</v>
      </c>
      <c r="AE840" s="377" t="e">
        <f t="shared" ca="1" si="382"/>
        <v>#N/A</v>
      </c>
      <c r="AF840" s="344"/>
      <c r="AG840" s="359">
        <f t="shared" ca="1" si="404"/>
        <v>3.6561118426864994</v>
      </c>
      <c r="AH840" s="357">
        <f t="shared" ca="1" si="405"/>
        <v>-6.0626472533632132</v>
      </c>
    </row>
    <row r="841" spans="1:34" x14ac:dyDescent="0.25">
      <c r="A841" s="402">
        <f t="shared" ca="1" si="383"/>
        <v>1E-4</v>
      </c>
      <c r="B841" s="357">
        <f t="shared" ca="1" si="384"/>
        <v>35.612100000000595</v>
      </c>
      <c r="C841" s="342"/>
      <c r="D841" s="359">
        <f t="shared" ca="1" si="385"/>
        <v>-0.82494546135040492</v>
      </c>
      <c r="E841" s="360">
        <f t="shared" ca="1" si="386"/>
        <v>-3.8036993186857906</v>
      </c>
      <c r="F841" s="357">
        <f t="shared" ca="1" si="387"/>
        <v>3.8921284050212654</v>
      </c>
      <c r="G841" s="359">
        <f t="shared" ca="1" si="388"/>
        <v>18.703274715283516</v>
      </c>
      <c r="H841" s="360">
        <f t="shared" ca="1" si="389"/>
        <v>-136.17663979000281</v>
      </c>
      <c r="I841" s="357">
        <f t="shared" ca="1" si="390"/>
        <v>137.45504614080758</v>
      </c>
      <c r="J841" s="359">
        <f t="shared" ca="1" si="391"/>
        <v>1009.0500868209435</v>
      </c>
      <c r="K841" s="360">
        <f t="shared" ca="1" si="392"/>
        <v>-12.607386521680134</v>
      </c>
      <c r="L841" s="357">
        <f t="shared" ca="1" si="377"/>
        <v>1009.1288440572199</v>
      </c>
      <c r="M841" s="359">
        <f t="shared" ca="1" si="393"/>
        <v>-1.4343046130034596</v>
      </c>
      <c r="N841" s="357">
        <f t="shared" ca="1" si="394"/>
        <v>-82.179600861243088</v>
      </c>
      <c r="O841" s="343"/>
      <c r="P841" s="363">
        <f t="shared" ca="1" si="395"/>
        <v>23</v>
      </c>
      <c r="Q841" s="357">
        <f t="shared" ca="1" si="396"/>
        <v>0</v>
      </c>
      <c r="R841" s="359">
        <f t="shared" ca="1" si="397"/>
        <v>0</v>
      </c>
      <c r="S841" s="360">
        <f t="shared" ca="1" si="398"/>
        <v>8.6519999999999992</v>
      </c>
      <c r="T841" s="357">
        <f t="shared" ca="1" si="378"/>
        <v>84.87612</v>
      </c>
      <c r="U841" s="364">
        <f t="shared" ca="1" si="379"/>
        <v>0</v>
      </c>
      <c r="V841" s="359">
        <f t="shared" ca="1" si="380"/>
        <v>1.2265453790084297</v>
      </c>
      <c r="W841" s="357">
        <f t="shared" ca="1" si="381"/>
        <v>52.454724980734305</v>
      </c>
      <c r="X841" s="343"/>
      <c r="Y841" s="367" t="str">
        <f t="shared" ca="1" si="399"/>
        <v/>
      </c>
      <c r="Z841" s="368" t="str">
        <f t="shared" ca="1" si="400"/>
        <v/>
      </c>
      <c r="AA841" s="369" t="str">
        <f t="shared" ca="1" si="401"/>
        <v/>
      </c>
      <c r="AB841" s="344"/>
      <c r="AC841" s="363" t="e">
        <f t="shared" ca="1" si="402"/>
        <v>#N/A</v>
      </c>
      <c r="AD841" s="376" t="e">
        <f t="shared" ca="1" si="403"/>
        <v>#N/A</v>
      </c>
      <c r="AE841" s="377" t="e">
        <f t="shared" ca="1" si="382"/>
        <v>#N/A</v>
      </c>
      <c r="AF841" s="344"/>
      <c r="AG841" s="359">
        <f t="shared" ca="1" si="404"/>
        <v>3.6560726312454301</v>
      </c>
      <c r="AH841" s="357">
        <f t="shared" ca="1" si="405"/>
        <v>-6.0626877610972327</v>
      </c>
    </row>
    <row r="842" spans="1:34" x14ac:dyDescent="0.25">
      <c r="A842" s="402">
        <f t="shared" ca="1" si="383"/>
        <v>1E-4</v>
      </c>
      <c r="B842" s="357">
        <f t="shared" ca="1" si="384"/>
        <v>35.612200000000598</v>
      </c>
      <c r="C842" s="342"/>
      <c r="D842" s="359">
        <f t="shared" ca="1" si="385"/>
        <v>-0.82494514037212796</v>
      </c>
      <c r="E842" s="360">
        <f t="shared" ca="1" si="386"/>
        <v>-3.8036583867224891</v>
      </c>
      <c r="F842" s="357">
        <f t="shared" ca="1" si="387"/>
        <v>3.8920883350083306</v>
      </c>
      <c r="G842" s="359">
        <f t="shared" ca="1" si="388"/>
        <v>18.703192220769481</v>
      </c>
      <c r="H842" s="360">
        <f t="shared" ca="1" si="389"/>
        <v>-136.17702015584149</v>
      </c>
      <c r="I842" s="357">
        <f t="shared" ca="1" si="390"/>
        <v>137.45541174421439</v>
      </c>
      <c r="J842" s="359">
        <f t="shared" ca="1" si="391"/>
        <v>1009.0500868209435</v>
      </c>
      <c r="K842" s="360">
        <f t="shared" ca="1" si="392"/>
        <v>-12.621004204677426</v>
      </c>
      <c r="L842" s="357">
        <f t="shared" ca="1" si="377"/>
        <v>1009.1290142793874</v>
      </c>
      <c r="M842" s="359">
        <f t="shared" ca="1" si="393"/>
        <v>-1.4343055841038512</v>
      </c>
      <c r="N842" s="357">
        <f t="shared" ca="1" si="394"/>
        <v>-82.179656501197016</v>
      </c>
      <c r="O842" s="343"/>
      <c r="P842" s="363">
        <f t="shared" ca="1" si="395"/>
        <v>23</v>
      </c>
      <c r="Q842" s="357">
        <f t="shared" ca="1" si="396"/>
        <v>0</v>
      </c>
      <c r="R842" s="359">
        <f t="shared" ca="1" si="397"/>
        <v>0</v>
      </c>
      <c r="S842" s="360">
        <f t="shared" ca="1" si="398"/>
        <v>8.6519999999999992</v>
      </c>
      <c r="T842" s="357">
        <f t="shared" ca="1" si="378"/>
        <v>84.87612</v>
      </c>
      <c r="U842" s="364">
        <f t="shared" ca="1" si="379"/>
        <v>0</v>
      </c>
      <c r="V842" s="359">
        <f t="shared" ca="1" si="380"/>
        <v>1.226547049280847</v>
      </c>
      <c r="W842" s="357">
        <f t="shared" ca="1" si="381"/>
        <v>52.455075451261706</v>
      </c>
      <c r="X842" s="343"/>
      <c r="Y842" s="367" t="str">
        <f t="shared" ca="1" si="399"/>
        <v/>
      </c>
      <c r="Z842" s="368" t="str">
        <f t="shared" ca="1" si="400"/>
        <v/>
      </c>
      <c r="AA842" s="369" t="str">
        <f t="shared" ca="1" si="401"/>
        <v/>
      </c>
      <c r="AB842" s="344"/>
      <c r="AC842" s="363" t="e">
        <f t="shared" ca="1" si="402"/>
        <v>#N/A</v>
      </c>
      <c r="AD842" s="376" t="e">
        <f t="shared" ca="1" si="403"/>
        <v>#N/A</v>
      </c>
      <c r="AE842" s="377" t="e">
        <f t="shared" ca="1" si="382"/>
        <v>#N/A</v>
      </c>
      <c r="AF842" s="344"/>
      <c r="AG842" s="359">
        <f t="shared" ca="1" si="404"/>
        <v>3.6560334199205471</v>
      </c>
      <c r="AH842" s="357">
        <f t="shared" ca="1" si="405"/>
        <v>-6.0627282686932862</v>
      </c>
    </row>
    <row r="843" spans="1:34" x14ac:dyDescent="0.25">
      <c r="A843" s="402">
        <f t="shared" ca="1" si="383"/>
        <v>1E-4</v>
      </c>
      <c r="B843" s="357">
        <f t="shared" ca="1" si="384"/>
        <v>35.612300000000602</v>
      </c>
      <c r="C843" s="342"/>
      <c r="D843" s="359">
        <f t="shared" ca="1" si="385"/>
        <v>-0.82494481935311126</v>
      </c>
      <c r="E843" s="360">
        <f t="shared" ca="1" si="386"/>
        <v>-3.803617454898621</v>
      </c>
      <c r="F843" s="357">
        <f t="shared" ca="1" si="387"/>
        <v>3.8920482651409913</v>
      </c>
      <c r="G843" s="359">
        <f t="shared" ca="1" si="388"/>
        <v>18.703109726287547</v>
      </c>
      <c r="H843" s="360">
        <f t="shared" ca="1" si="389"/>
        <v>-136.17740051758699</v>
      </c>
      <c r="I843" s="357">
        <f t="shared" ca="1" si="390"/>
        <v>137.45577734370008</v>
      </c>
      <c r="J843" s="359">
        <f t="shared" ca="1" si="391"/>
        <v>1009.0500868209435</v>
      </c>
      <c r="K843" s="360">
        <f t="shared" ca="1" si="392"/>
        <v>-12.634621925711098</v>
      </c>
      <c r="L843" s="357">
        <f t="shared" ca="1" si="377"/>
        <v>1009.1291846857662</v>
      </c>
      <c r="M843" s="359">
        <f t="shared" ca="1" si="393"/>
        <v>-1.4343065551947936</v>
      </c>
      <c r="N843" s="357">
        <f t="shared" ca="1" si="394"/>
        <v>-82.179712140609539</v>
      </c>
      <c r="O843" s="343"/>
      <c r="P843" s="363">
        <f t="shared" ca="1" si="395"/>
        <v>23</v>
      </c>
      <c r="Q843" s="357">
        <f t="shared" ca="1" si="396"/>
        <v>0</v>
      </c>
      <c r="R843" s="359">
        <f t="shared" ca="1" si="397"/>
        <v>0</v>
      </c>
      <c r="S843" s="360">
        <f t="shared" ca="1" si="398"/>
        <v>8.6519999999999992</v>
      </c>
      <c r="T843" s="357">
        <f t="shared" ca="1" si="378"/>
        <v>84.87612</v>
      </c>
      <c r="U843" s="364">
        <f t="shared" ca="1" si="379"/>
        <v>0</v>
      </c>
      <c r="V843" s="359">
        <f t="shared" ca="1" si="380"/>
        <v>1.2265487195602052</v>
      </c>
      <c r="W843" s="357">
        <f t="shared" ca="1" si="381"/>
        <v>52.455425920595381</v>
      </c>
      <c r="X843" s="343"/>
      <c r="Y843" s="367" t="str">
        <f t="shared" ca="1" si="399"/>
        <v/>
      </c>
      <c r="Z843" s="368" t="str">
        <f t="shared" ca="1" si="400"/>
        <v/>
      </c>
      <c r="AA843" s="369" t="str">
        <f t="shared" ca="1" si="401"/>
        <v/>
      </c>
      <c r="AB843" s="344"/>
      <c r="AC843" s="363" t="e">
        <f t="shared" ca="1" si="402"/>
        <v>#N/A</v>
      </c>
      <c r="AD843" s="376" t="e">
        <f t="shared" ca="1" si="403"/>
        <v>#N/A</v>
      </c>
      <c r="AE843" s="377" t="e">
        <f t="shared" ca="1" si="382"/>
        <v>#N/A</v>
      </c>
      <c r="AF843" s="344"/>
      <c r="AG843" s="359">
        <f t="shared" ca="1" si="404"/>
        <v>3.6559942087118529</v>
      </c>
      <c r="AH843" s="357">
        <f t="shared" ca="1" si="405"/>
        <v>-6.0627687761513762</v>
      </c>
    </row>
    <row r="844" spans="1:34" x14ac:dyDescent="0.25">
      <c r="A844" s="402">
        <f t="shared" ca="1" si="383"/>
        <v>1E-4</v>
      </c>
      <c r="B844" s="357">
        <f t="shared" ca="1" si="384"/>
        <v>35.612400000000605</v>
      </c>
      <c r="C844" s="342"/>
      <c r="D844" s="359">
        <f t="shared" ca="1" si="385"/>
        <v>-0.82494449829335847</v>
      </c>
      <c r="E844" s="360">
        <f t="shared" ca="1" si="386"/>
        <v>-3.8035765232141951</v>
      </c>
      <c r="F844" s="357">
        <f t="shared" ca="1" si="387"/>
        <v>3.8920081954192574</v>
      </c>
      <c r="G844" s="359">
        <f t="shared" ca="1" si="388"/>
        <v>18.703027231837719</v>
      </c>
      <c r="H844" s="360">
        <f t="shared" ca="1" si="389"/>
        <v>-136.17778087523931</v>
      </c>
      <c r="I844" s="357">
        <f t="shared" ca="1" si="390"/>
        <v>137.45614293926465</v>
      </c>
      <c r="J844" s="359">
        <f t="shared" ca="1" si="391"/>
        <v>1009.0500868209435</v>
      </c>
      <c r="K844" s="360">
        <f t="shared" ca="1" si="392"/>
        <v>-12.648239684780739</v>
      </c>
      <c r="L844" s="357">
        <f t="shared" ca="1" si="377"/>
        <v>1009.1293552763576</v>
      </c>
      <c r="M844" s="359">
        <f t="shared" ca="1" si="393"/>
        <v>-1.4343075262762872</v>
      </c>
      <c r="N844" s="357">
        <f t="shared" ca="1" si="394"/>
        <v>-82.179767779480684</v>
      </c>
      <c r="O844" s="343"/>
      <c r="P844" s="363">
        <f t="shared" ca="1" si="395"/>
        <v>23</v>
      </c>
      <c r="Q844" s="357">
        <f t="shared" ca="1" si="396"/>
        <v>0</v>
      </c>
      <c r="R844" s="359">
        <f t="shared" ca="1" si="397"/>
        <v>0</v>
      </c>
      <c r="S844" s="360">
        <f t="shared" ca="1" si="398"/>
        <v>8.6519999999999992</v>
      </c>
      <c r="T844" s="357">
        <f t="shared" ca="1" si="378"/>
        <v>84.87612</v>
      </c>
      <c r="U844" s="364">
        <f t="shared" ca="1" si="379"/>
        <v>0</v>
      </c>
      <c r="V844" s="359">
        <f t="shared" ca="1" si="380"/>
        <v>1.2265503898465051</v>
      </c>
      <c r="W844" s="357">
        <f t="shared" ca="1" si="381"/>
        <v>52.45577638873533</v>
      </c>
      <c r="X844" s="343"/>
      <c r="Y844" s="367" t="str">
        <f t="shared" ca="1" si="399"/>
        <v/>
      </c>
      <c r="Z844" s="368" t="str">
        <f t="shared" ca="1" si="400"/>
        <v/>
      </c>
      <c r="AA844" s="369" t="str">
        <f t="shared" ca="1" si="401"/>
        <v/>
      </c>
      <c r="AB844" s="344"/>
      <c r="AC844" s="363" t="e">
        <f t="shared" ca="1" si="402"/>
        <v>#N/A</v>
      </c>
      <c r="AD844" s="376" t="e">
        <f t="shared" ca="1" si="403"/>
        <v>#N/A</v>
      </c>
      <c r="AE844" s="377" t="e">
        <f t="shared" ca="1" si="382"/>
        <v>#N/A</v>
      </c>
      <c r="AF844" s="344"/>
      <c r="AG844" s="359">
        <f t="shared" ca="1" si="404"/>
        <v>3.6559549976193466</v>
      </c>
      <c r="AH844" s="357">
        <f t="shared" ca="1" si="405"/>
        <v>-6.0628092834714966</v>
      </c>
    </row>
    <row r="845" spans="1:34" x14ac:dyDescent="0.25">
      <c r="A845" s="402">
        <f t="shared" ca="1" si="383"/>
        <v>1E-4</v>
      </c>
      <c r="B845" s="357">
        <f t="shared" ca="1" si="384"/>
        <v>35.612500000000608</v>
      </c>
      <c r="C845" s="342"/>
      <c r="D845" s="359">
        <f t="shared" ca="1" si="385"/>
        <v>-0.82494417719286661</v>
      </c>
      <c r="E845" s="360">
        <f t="shared" ca="1" si="386"/>
        <v>-3.8035355916692115</v>
      </c>
      <c r="F845" s="357">
        <f t="shared" ca="1" si="387"/>
        <v>3.8919681258431282</v>
      </c>
      <c r="G845" s="359">
        <f t="shared" ca="1" si="388"/>
        <v>18.702944737420001</v>
      </c>
      <c r="H845" s="360">
        <f t="shared" ca="1" si="389"/>
        <v>-136.17816122879847</v>
      </c>
      <c r="I845" s="357">
        <f t="shared" ca="1" si="390"/>
        <v>137.45650853090811</v>
      </c>
      <c r="J845" s="359">
        <f t="shared" ca="1" si="391"/>
        <v>1009.0500868209435</v>
      </c>
      <c r="K845" s="360">
        <f t="shared" ca="1" si="392"/>
        <v>-12.66185748188594</v>
      </c>
      <c r="L845" s="357">
        <f t="shared" ca="1" si="377"/>
        <v>1009.1295260511632</v>
      </c>
      <c r="M845" s="359">
        <f t="shared" ca="1" si="393"/>
        <v>-1.434308497348332</v>
      </c>
      <c r="N845" s="357">
        <f t="shared" ca="1" si="394"/>
        <v>-82.179823417810454</v>
      </c>
      <c r="O845" s="343"/>
      <c r="P845" s="363">
        <f t="shared" ca="1" si="395"/>
        <v>23</v>
      </c>
      <c r="Q845" s="357">
        <f t="shared" ca="1" si="396"/>
        <v>0</v>
      </c>
      <c r="R845" s="359">
        <f t="shared" ca="1" si="397"/>
        <v>0</v>
      </c>
      <c r="S845" s="360">
        <f t="shared" ca="1" si="398"/>
        <v>8.6519999999999992</v>
      </c>
      <c r="T845" s="357">
        <f t="shared" ca="1" si="378"/>
        <v>84.87612</v>
      </c>
      <c r="U845" s="364">
        <f t="shared" ca="1" si="379"/>
        <v>0</v>
      </c>
      <c r="V845" s="359">
        <f t="shared" ca="1" si="380"/>
        <v>1.2265520601397457</v>
      </c>
      <c r="W845" s="357">
        <f t="shared" ca="1" si="381"/>
        <v>52.456126855681497</v>
      </c>
      <c r="X845" s="343"/>
      <c r="Y845" s="367" t="str">
        <f t="shared" ca="1" si="399"/>
        <v/>
      </c>
      <c r="Z845" s="368" t="str">
        <f t="shared" ca="1" si="400"/>
        <v/>
      </c>
      <c r="AA845" s="369" t="str">
        <f t="shared" ca="1" si="401"/>
        <v/>
      </c>
      <c r="AB845" s="344"/>
      <c r="AC845" s="363" t="e">
        <f t="shared" ca="1" si="402"/>
        <v>#N/A</v>
      </c>
      <c r="AD845" s="376" t="e">
        <f t="shared" ca="1" si="403"/>
        <v>#N/A</v>
      </c>
      <c r="AE845" s="377" t="e">
        <f t="shared" ca="1" si="382"/>
        <v>#N/A</v>
      </c>
      <c r="AF845" s="344"/>
      <c r="AG845" s="359">
        <f t="shared" ca="1" si="404"/>
        <v>3.6559157866430381</v>
      </c>
      <c r="AH845" s="357">
        <f t="shared" ca="1" si="405"/>
        <v>-6.0628497906536447</v>
      </c>
    </row>
    <row r="846" spans="1:34" x14ac:dyDescent="0.25">
      <c r="A846" s="402">
        <f t="shared" ca="1" si="383"/>
        <v>1E-4</v>
      </c>
      <c r="B846" s="357">
        <f t="shared" ca="1" si="384"/>
        <v>35.612600000000612</v>
      </c>
      <c r="C846" s="342"/>
      <c r="D846" s="359">
        <f t="shared" ca="1" si="385"/>
        <v>-0.82494385605163789</v>
      </c>
      <c r="E846" s="360">
        <f t="shared" ca="1" si="386"/>
        <v>-3.8034946602636772</v>
      </c>
      <c r="F846" s="357">
        <f t="shared" ca="1" si="387"/>
        <v>3.891928056412612</v>
      </c>
      <c r="G846" s="359">
        <f t="shared" ca="1" si="388"/>
        <v>18.702862243034396</v>
      </c>
      <c r="H846" s="360">
        <f t="shared" ca="1" si="389"/>
        <v>-136.17854157826449</v>
      </c>
      <c r="I846" s="357">
        <f t="shared" ca="1" si="390"/>
        <v>137.45687411863051</v>
      </c>
      <c r="J846" s="359">
        <f t="shared" ca="1" si="391"/>
        <v>1009.0500868209435</v>
      </c>
      <c r="K846" s="360">
        <f t="shared" ca="1" si="392"/>
        <v>-12.675475317026294</v>
      </c>
      <c r="L846" s="357">
        <f t="shared" ca="1" si="377"/>
        <v>1009.1296970101841</v>
      </c>
      <c r="M846" s="359">
        <f t="shared" ca="1" si="393"/>
        <v>-1.4343094684109283</v>
      </c>
      <c r="N846" s="357">
        <f t="shared" ca="1" si="394"/>
        <v>-82.17987905559886</v>
      </c>
      <c r="O846" s="343"/>
      <c r="P846" s="363">
        <f t="shared" ca="1" si="395"/>
        <v>23</v>
      </c>
      <c r="Q846" s="357">
        <f t="shared" ca="1" si="396"/>
        <v>0</v>
      </c>
      <c r="R846" s="359">
        <f t="shared" ca="1" si="397"/>
        <v>0</v>
      </c>
      <c r="S846" s="360">
        <f t="shared" ca="1" si="398"/>
        <v>8.6519999999999992</v>
      </c>
      <c r="T846" s="357">
        <f t="shared" ca="1" si="378"/>
        <v>84.87612</v>
      </c>
      <c r="U846" s="364">
        <f t="shared" ca="1" si="379"/>
        <v>0</v>
      </c>
      <c r="V846" s="359">
        <f t="shared" ca="1" si="380"/>
        <v>1.2265537304399281</v>
      </c>
      <c r="W846" s="357">
        <f t="shared" ca="1" si="381"/>
        <v>52.45647732143393</v>
      </c>
      <c r="X846" s="343"/>
      <c r="Y846" s="367" t="str">
        <f t="shared" ca="1" si="399"/>
        <v/>
      </c>
      <c r="Z846" s="368" t="str">
        <f t="shared" ca="1" si="400"/>
        <v/>
      </c>
      <c r="AA846" s="369" t="str">
        <f t="shared" ca="1" si="401"/>
        <v/>
      </c>
      <c r="AB846" s="344"/>
      <c r="AC846" s="363" t="e">
        <f t="shared" ca="1" si="402"/>
        <v>#N/A</v>
      </c>
      <c r="AD846" s="376" t="e">
        <f t="shared" ca="1" si="403"/>
        <v>#N/A</v>
      </c>
      <c r="AE846" s="377" t="e">
        <f t="shared" ca="1" si="382"/>
        <v>#N/A</v>
      </c>
      <c r="AF846" s="344"/>
      <c r="AG846" s="359">
        <f t="shared" ca="1" si="404"/>
        <v>3.6558765757829281</v>
      </c>
      <c r="AH846" s="357">
        <f t="shared" ca="1" si="405"/>
        <v>-6.0628902976978161</v>
      </c>
    </row>
    <row r="847" spans="1:34" x14ac:dyDescent="0.25">
      <c r="A847" s="402">
        <f t="shared" ca="1" si="383"/>
        <v>1E-4</v>
      </c>
      <c r="B847" s="357">
        <f t="shared" ca="1" si="384"/>
        <v>35.612700000000615</v>
      </c>
      <c r="C847" s="342"/>
      <c r="D847" s="359">
        <f t="shared" ca="1" si="385"/>
        <v>-0.82494353486967198</v>
      </c>
      <c r="E847" s="360">
        <f t="shared" ca="1" si="386"/>
        <v>-3.803453728997586</v>
      </c>
      <c r="F847" s="357">
        <f t="shared" ca="1" si="387"/>
        <v>3.8918879871277015</v>
      </c>
      <c r="G847" s="359">
        <f t="shared" ca="1" si="388"/>
        <v>18.702779748680907</v>
      </c>
      <c r="H847" s="360">
        <f t="shared" ca="1" si="389"/>
        <v>-136.17892192363738</v>
      </c>
      <c r="I847" s="357">
        <f t="shared" ca="1" si="390"/>
        <v>137.45723970243179</v>
      </c>
      <c r="J847" s="359">
        <f t="shared" ca="1" si="391"/>
        <v>1009.0500868209435</v>
      </c>
      <c r="K847" s="360">
        <f t="shared" ca="1" si="392"/>
        <v>-12.689093190201389</v>
      </c>
      <c r="L847" s="357">
        <f t="shared" ca="1" si="377"/>
        <v>1009.1298681534222</v>
      </c>
      <c r="M847" s="359">
        <f t="shared" ca="1" si="393"/>
        <v>-1.4343104394640762</v>
      </c>
      <c r="N847" s="357">
        <f t="shared" ca="1" si="394"/>
        <v>-82.179934692845919</v>
      </c>
      <c r="O847" s="343"/>
      <c r="P847" s="363">
        <f t="shared" ca="1" si="395"/>
        <v>23</v>
      </c>
      <c r="Q847" s="357">
        <f t="shared" ca="1" si="396"/>
        <v>0</v>
      </c>
      <c r="R847" s="359">
        <f t="shared" ca="1" si="397"/>
        <v>0</v>
      </c>
      <c r="S847" s="360">
        <f t="shared" ca="1" si="398"/>
        <v>8.6519999999999992</v>
      </c>
      <c r="T847" s="357">
        <f t="shared" ca="1" si="378"/>
        <v>84.87612</v>
      </c>
      <c r="U847" s="364">
        <f t="shared" ca="1" si="379"/>
        <v>0</v>
      </c>
      <c r="V847" s="359">
        <f t="shared" ca="1" si="380"/>
        <v>1.2265554007470512</v>
      </c>
      <c r="W847" s="357">
        <f t="shared" ca="1" si="381"/>
        <v>52.456827785992516</v>
      </c>
      <c r="X847" s="343"/>
      <c r="Y847" s="367" t="str">
        <f t="shared" ca="1" si="399"/>
        <v/>
      </c>
      <c r="Z847" s="368" t="str">
        <f t="shared" ca="1" si="400"/>
        <v/>
      </c>
      <c r="AA847" s="369" t="str">
        <f t="shared" ca="1" si="401"/>
        <v/>
      </c>
      <c r="AB847" s="344"/>
      <c r="AC847" s="363" t="e">
        <f t="shared" ca="1" si="402"/>
        <v>#N/A</v>
      </c>
      <c r="AD847" s="376" t="e">
        <f t="shared" ca="1" si="403"/>
        <v>#N/A</v>
      </c>
      <c r="AE847" s="377" t="e">
        <f t="shared" ca="1" si="382"/>
        <v>#N/A</v>
      </c>
      <c r="AF847" s="344"/>
      <c r="AG847" s="359">
        <f t="shared" ca="1" si="404"/>
        <v>3.6558373650390132</v>
      </c>
      <c r="AH847" s="357">
        <f t="shared" ca="1" si="405"/>
        <v>-6.0629308046040142</v>
      </c>
    </row>
    <row r="848" spans="1:34" x14ac:dyDescent="0.25">
      <c r="A848" s="402">
        <f t="shared" ca="1" si="383"/>
        <v>1E-4</v>
      </c>
      <c r="B848" s="357">
        <f t="shared" ca="1" si="384"/>
        <v>35.612800000000618</v>
      </c>
      <c r="C848" s="342"/>
      <c r="D848" s="359">
        <f t="shared" ca="1" si="385"/>
        <v>-0.82494321364696854</v>
      </c>
      <c r="E848" s="360">
        <f t="shared" ca="1" si="386"/>
        <v>-3.8034127978709504</v>
      </c>
      <c r="F848" s="357">
        <f t="shared" ca="1" si="387"/>
        <v>3.8918479179884096</v>
      </c>
      <c r="G848" s="359">
        <f t="shared" ca="1" si="388"/>
        <v>18.702697254359542</v>
      </c>
      <c r="H848" s="360">
        <f t="shared" ca="1" si="389"/>
        <v>-136.17930226491717</v>
      </c>
      <c r="I848" s="357">
        <f t="shared" ca="1" si="390"/>
        <v>137.45760528231204</v>
      </c>
      <c r="J848" s="359">
        <f t="shared" ca="1" si="391"/>
        <v>1009.0500868209435</v>
      </c>
      <c r="K848" s="360">
        <f t="shared" ca="1" si="392"/>
        <v>-12.702711101410816</v>
      </c>
      <c r="L848" s="357">
        <f t="shared" ca="1" si="377"/>
        <v>1009.1300394808786</v>
      </c>
      <c r="M848" s="359">
        <f t="shared" ca="1" si="393"/>
        <v>-1.4343114105077757</v>
      </c>
      <c r="N848" s="357">
        <f t="shared" ca="1" si="394"/>
        <v>-82.179990329551629</v>
      </c>
      <c r="O848" s="343"/>
      <c r="P848" s="363">
        <f t="shared" ca="1" si="395"/>
        <v>23</v>
      </c>
      <c r="Q848" s="357">
        <f t="shared" ca="1" si="396"/>
        <v>0</v>
      </c>
      <c r="R848" s="359">
        <f t="shared" ca="1" si="397"/>
        <v>0</v>
      </c>
      <c r="S848" s="360">
        <f t="shared" ca="1" si="398"/>
        <v>8.6519999999999992</v>
      </c>
      <c r="T848" s="357">
        <f t="shared" ca="1" si="378"/>
        <v>84.87612</v>
      </c>
      <c r="U848" s="364">
        <f t="shared" ca="1" si="379"/>
        <v>0</v>
      </c>
      <c r="V848" s="359">
        <f t="shared" ca="1" si="380"/>
        <v>1.2265570710611156</v>
      </c>
      <c r="W848" s="357">
        <f t="shared" ca="1" si="381"/>
        <v>52.45717824935732</v>
      </c>
      <c r="X848" s="343"/>
      <c r="Y848" s="367" t="str">
        <f t="shared" ca="1" si="399"/>
        <v/>
      </c>
      <c r="Z848" s="368" t="str">
        <f t="shared" ca="1" si="400"/>
        <v/>
      </c>
      <c r="AA848" s="369" t="str">
        <f t="shared" ca="1" si="401"/>
        <v/>
      </c>
      <c r="AB848" s="344"/>
      <c r="AC848" s="363" t="e">
        <f t="shared" ca="1" si="402"/>
        <v>#N/A</v>
      </c>
      <c r="AD848" s="376" t="e">
        <f t="shared" ca="1" si="403"/>
        <v>#N/A</v>
      </c>
      <c r="AE848" s="377" t="e">
        <f t="shared" ca="1" si="382"/>
        <v>#N/A</v>
      </c>
      <c r="AF848" s="344"/>
      <c r="AG848" s="359">
        <f t="shared" ca="1" si="404"/>
        <v>3.6557981544113094</v>
      </c>
      <c r="AH848" s="357">
        <f t="shared" ca="1" si="405"/>
        <v>-6.0629713113722286</v>
      </c>
    </row>
    <row r="849" spans="1:34" x14ac:dyDescent="0.25">
      <c r="A849" s="402">
        <f t="shared" ca="1" si="383"/>
        <v>1E-4</v>
      </c>
      <c r="B849" s="357">
        <f t="shared" ca="1" si="384"/>
        <v>35.612900000000622</v>
      </c>
      <c r="C849" s="342"/>
      <c r="D849" s="359">
        <f t="shared" ca="1" si="385"/>
        <v>-0.82494289238353025</v>
      </c>
      <c r="E849" s="360">
        <f t="shared" ca="1" si="386"/>
        <v>-3.8033718668837642</v>
      </c>
      <c r="F849" s="357">
        <f t="shared" ca="1" si="387"/>
        <v>3.891807848994731</v>
      </c>
      <c r="G849" s="359">
        <f t="shared" ca="1" si="388"/>
        <v>18.702614760070304</v>
      </c>
      <c r="H849" s="360">
        <f t="shared" ca="1" si="389"/>
        <v>-136.17968260210387</v>
      </c>
      <c r="I849" s="357">
        <f t="shared" ca="1" si="390"/>
        <v>137.45797085827127</v>
      </c>
      <c r="J849" s="359">
        <f t="shared" ca="1" si="391"/>
        <v>1009.0500868209435</v>
      </c>
      <c r="K849" s="360">
        <f t="shared" ca="1" si="392"/>
        <v>-12.716329050654167</v>
      </c>
      <c r="L849" s="357">
        <f t="shared" ca="1" si="377"/>
        <v>1009.1302109925548</v>
      </c>
      <c r="M849" s="359">
        <f t="shared" ca="1" si="393"/>
        <v>-1.4343123815420271</v>
      </c>
      <c r="N849" s="357">
        <f t="shared" ca="1" si="394"/>
        <v>-82.180045965715991</v>
      </c>
      <c r="O849" s="343"/>
      <c r="P849" s="363">
        <f t="shared" ca="1" si="395"/>
        <v>23</v>
      </c>
      <c r="Q849" s="357">
        <f t="shared" ca="1" si="396"/>
        <v>0</v>
      </c>
      <c r="R849" s="359">
        <f t="shared" ca="1" si="397"/>
        <v>0</v>
      </c>
      <c r="S849" s="360">
        <f t="shared" ca="1" si="398"/>
        <v>8.6519999999999992</v>
      </c>
      <c r="T849" s="357">
        <f t="shared" ca="1" si="378"/>
        <v>84.87612</v>
      </c>
      <c r="U849" s="364">
        <f t="shared" ca="1" si="379"/>
        <v>0</v>
      </c>
      <c r="V849" s="359">
        <f t="shared" ca="1" si="380"/>
        <v>1.2265587413821213</v>
      </c>
      <c r="W849" s="357">
        <f t="shared" ca="1" si="381"/>
        <v>52.457528711528319</v>
      </c>
      <c r="X849" s="343"/>
      <c r="Y849" s="367" t="str">
        <f t="shared" ca="1" si="399"/>
        <v/>
      </c>
      <c r="Z849" s="368" t="str">
        <f t="shared" ca="1" si="400"/>
        <v/>
      </c>
      <c r="AA849" s="369" t="str">
        <f t="shared" ca="1" si="401"/>
        <v/>
      </c>
      <c r="AB849" s="344"/>
      <c r="AC849" s="363" t="e">
        <f t="shared" ca="1" si="402"/>
        <v>#N/A</v>
      </c>
      <c r="AD849" s="376" t="e">
        <f t="shared" ca="1" si="403"/>
        <v>#N/A</v>
      </c>
      <c r="AE849" s="377" t="e">
        <f t="shared" ca="1" si="382"/>
        <v>#N/A</v>
      </c>
      <c r="AF849" s="344"/>
      <c r="AG849" s="359">
        <f t="shared" ca="1" si="404"/>
        <v>3.6557589438998077</v>
      </c>
      <c r="AH849" s="357">
        <f t="shared" ca="1" si="405"/>
        <v>-6.0630118180024644</v>
      </c>
    </row>
    <row r="850" spans="1:34" x14ac:dyDescent="0.25">
      <c r="A850" s="402">
        <f t="shared" ca="1" si="383"/>
        <v>1E-4</v>
      </c>
      <c r="B850" s="357">
        <f t="shared" ca="1" si="384"/>
        <v>35.613000000000625</v>
      </c>
      <c r="C850" s="342"/>
      <c r="D850" s="359">
        <f t="shared" ca="1" si="385"/>
        <v>-0.82494257107935576</v>
      </c>
      <c r="E850" s="360">
        <f t="shared" ca="1" si="386"/>
        <v>-3.803330936036029</v>
      </c>
      <c r="F850" s="357">
        <f t="shared" ca="1" si="387"/>
        <v>3.8917677801466666</v>
      </c>
      <c r="G850" s="359">
        <f t="shared" ca="1" si="388"/>
        <v>18.702532265813197</v>
      </c>
      <c r="H850" s="360">
        <f t="shared" ca="1" si="389"/>
        <v>-136.18006293519747</v>
      </c>
      <c r="I850" s="357">
        <f t="shared" ca="1" si="390"/>
        <v>137.4583364303094</v>
      </c>
      <c r="J850" s="359">
        <f t="shared" ca="1" si="391"/>
        <v>1009.0500868209435</v>
      </c>
      <c r="K850" s="360">
        <f t="shared" ca="1" si="392"/>
        <v>-12.729947037931032</v>
      </c>
      <c r="L850" s="357">
        <f t="shared" ca="1" si="377"/>
        <v>1009.1303826884523</v>
      </c>
      <c r="M850" s="359">
        <f t="shared" ca="1" si="393"/>
        <v>-1.4343133525668303</v>
      </c>
      <c r="N850" s="357">
        <f t="shared" ca="1" si="394"/>
        <v>-82.180101601339018</v>
      </c>
      <c r="O850" s="343"/>
      <c r="P850" s="363">
        <f t="shared" ca="1" si="395"/>
        <v>23</v>
      </c>
      <c r="Q850" s="357">
        <f t="shared" ca="1" si="396"/>
        <v>0</v>
      </c>
      <c r="R850" s="359">
        <f t="shared" ca="1" si="397"/>
        <v>0</v>
      </c>
      <c r="S850" s="360">
        <f t="shared" ca="1" si="398"/>
        <v>8.6519999999999992</v>
      </c>
      <c r="T850" s="357">
        <f t="shared" ca="1" si="378"/>
        <v>84.87612</v>
      </c>
      <c r="U850" s="364">
        <f t="shared" ca="1" si="379"/>
        <v>0</v>
      </c>
      <c r="V850" s="359">
        <f t="shared" ca="1" si="380"/>
        <v>1.2265604117100679</v>
      </c>
      <c r="W850" s="357">
        <f t="shared" ca="1" si="381"/>
        <v>52.457879172505407</v>
      </c>
      <c r="X850" s="343"/>
      <c r="Y850" s="367" t="str">
        <f t="shared" ca="1" si="399"/>
        <v/>
      </c>
      <c r="Z850" s="368" t="str">
        <f t="shared" ca="1" si="400"/>
        <v/>
      </c>
      <c r="AA850" s="369" t="str">
        <f t="shared" ca="1" si="401"/>
        <v/>
      </c>
      <c r="AB850" s="344"/>
      <c r="AC850" s="363" t="e">
        <f t="shared" ca="1" si="402"/>
        <v>#N/A</v>
      </c>
      <c r="AD850" s="376" t="e">
        <f t="shared" ca="1" si="403"/>
        <v>#N/A</v>
      </c>
      <c r="AE850" s="377" t="e">
        <f t="shared" ca="1" si="382"/>
        <v>#N/A</v>
      </c>
      <c r="AF850" s="344"/>
      <c r="AG850" s="359">
        <f t="shared" ca="1" si="404"/>
        <v>3.6557197335045091</v>
      </c>
      <c r="AH850" s="357">
        <f t="shared" ca="1" si="405"/>
        <v>-6.0630523244947208</v>
      </c>
    </row>
    <row r="851" spans="1:34" x14ac:dyDescent="0.25">
      <c r="A851" s="402">
        <f t="shared" ca="1" si="383"/>
        <v>1E-4</v>
      </c>
      <c r="B851" s="357">
        <f t="shared" ca="1" si="384"/>
        <v>35.613100000000628</v>
      </c>
      <c r="C851" s="342"/>
      <c r="D851" s="359">
        <f t="shared" ca="1" si="385"/>
        <v>-0.82494224973444585</v>
      </c>
      <c r="E851" s="360">
        <f t="shared" ca="1" si="386"/>
        <v>-3.8032900053277574</v>
      </c>
      <c r="F851" s="357">
        <f t="shared" ca="1" si="387"/>
        <v>3.8917277114442297</v>
      </c>
      <c r="G851" s="359">
        <f t="shared" ca="1" si="388"/>
        <v>18.702449771588224</v>
      </c>
      <c r="H851" s="360">
        <f t="shared" ca="1" si="389"/>
        <v>-136.180443264198</v>
      </c>
      <c r="I851" s="357">
        <f t="shared" ca="1" si="390"/>
        <v>137.45870199842656</v>
      </c>
      <c r="J851" s="359">
        <f t="shared" ca="1" si="391"/>
        <v>1009.0500868209435</v>
      </c>
      <c r="K851" s="360">
        <f t="shared" ca="1" si="392"/>
        <v>-12.743565063241002</v>
      </c>
      <c r="L851" s="357">
        <f t="shared" ca="1" si="377"/>
        <v>1009.1305545685725</v>
      </c>
      <c r="M851" s="359">
        <f t="shared" ca="1" si="393"/>
        <v>-1.4343143235821858</v>
      </c>
      <c r="N851" s="357">
        <f t="shared" ca="1" si="394"/>
        <v>-82.180157236420726</v>
      </c>
      <c r="O851" s="343"/>
      <c r="P851" s="363">
        <f t="shared" ca="1" si="395"/>
        <v>23</v>
      </c>
      <c r="Q851" s="357">
        <f t="shared" ca="1" si="396"/>
        <v>0</v>
      </c>
      <c r="R851" s="359">
        <f t="shared" ca="1" si="397"/>
        <v>0</v>
      </c>
      <c r="S851" s="360">
        <f t="shared" ca="1" si="398"/>
        <v>8.6519999999999992</v>
      </c>
      <c r="T851" s="357">
        <f t="shared" ca="1" si="378"/>
        <v>84.87612</v>
      </c>
      <c r="U851" s="364">
        <f t="shared" ca="1" si="379"/>
        <v>0</v>
      </c>
      <c r="V851" s="359">
        <f t="shared" ca="1" si="380"/>
        <v>1.2265620820449556</v>
      </c>
      <c r="W851" s="357">
        <f t="shared" ca="1" si="381"/>
        <v>52.458229632288671</v>
      </c>
      <c r="X851" s="343"/>
      <c r="Y851" s="367" t="str">
        <f t="shared" ca="1" si="399"/>
        <v/>
      </c>
      <c r="Z851" s="368" t="str">
        <f t="shared" ca="1" si="400"/>
        <v/>
      </c>
      <c r="AA851" s="369" t="str">
        <f t="shared" ca="1" si="401"/>
        <v/>
      </c>
      <c r="AB851" s="344"/>
      <c r="AC851" s="363" t="e">
        <f t="shared" ca="1" si="402"/>
        <v>#N/A</v>
      </c>
      <c r="AD851" s="376" t="e">
        <f t="shared" ca="1" si="403"/>
        <v>#N/A</v>
      </c>
      <c r="AE851" s="377" t="e">
        <f t="shared" ca="1" si="382"/>
        <v>#N/A</v>
      </c>
      <c r="AF851" s="344"/>
      <c r="AG851" s="359">
        <f t="shared" ca="1" si="404"/>
        <v>3.6556805232254286</v>
      </c>
      <c r="AH851" s="357">
        <f t="shared" ca="1" si="405"/>
        <v>-6.0630928308489844</v>
      </c>
    </row>
    <row r="852" spans="1:34" x14ac:dyDescent="0.25">
      <c r="A852" s="402">
        <f t="shared" ca="1" si="383"/>
        <v>1E-4</v>
      </c>
      <c r="B852" s="357">
        <f t="shared" ca="1" si="384"/>
        <v>35.613200000000631</v>
      </c>
      <c r="C852" s="342"/>
      <c r="D852" s="359">
        <f t="shared" ca="1" si="385"/>
        <v>-0.82494192834880109</v>
      </c>
      <c r="E852" s="360">
        <f t="shared" ca="1" si="386"/>
        <v>-3.8032490747589396</v>
      </c>
      <c r="F852" s="357">
        <f t="shared" ca="1" si="387"/>
        <v>3.8916876428874105</v>
      </c>
      <c r="G852" s="359">
        <f t="shared" ca="1" si="388"/>
        <v>18.702367277395389</v>
      </c>
      <c r="H852" s="360">
        <f t="shared" ca="1" si="389"/>
        <v>-136.18082358910547</v>
      </c>
      <c r="I852" s="357">
        <f t="shared" ca="1" si="390"/>
        <v>137.45906756262264</v>
      </c>
      <c r="J852" s="359">
        <f t="shared" ca="1" si="391"/>
        <v>1009.0500868209435</v>
      </c>
      <c r="K852" s="360">
        <f t="shared" ca="1" si="392"/>
        <v>-12.757183126583667</v>
      </c>
      <c r="L852" s="357">
        <f t="shared" ca="1" si="377"/>
        <v>1009.1307266329169</v>
      </c>
      <c r="M852" s="359">
        <f t="shared" ca="1" si="393"/>
        <v>-1.4343152945880935</v>
      </c>
      <c r="N852" s="357">
        <f t="shared" ca="1" si="394"/>
        <v>-82.180212870961128</v>
      </c>
      <c r="O852" s="343"/>
      <c r="P852" s="363">
        <f t="shared" ca="1" si="395"/>
        <v>23</v>
      </c>
      <c r="Q852" s="357">
        <f t="shared" ca="1" si="396"/>
        <v>0</v>
      </c>
      <c r="R852" s="359">
        <f t="shared" ca="1" si="397"/>
        <v>0</v>
      </c>
      <c r="S852" s="360">
        <f t="shared" ca="1" si="398"/>
        <v>8.6519999999999992</v>
      </c>
      <c r="T852" s="357">
        <f t="shared" ca="1" si="378"/>
        <v>84.87612</v>
      </c>
      <c r="U852" s="364">
        <f t="shared" ca="1" si="379"/>
        <v>0</v>
      </c>
      <c r="V852" s="359">
        <f t="shared" ca="1" si="380"/>
        <v>1.2265637523867849</v>
      </c>
      <c r="W852" s="357">
        <f t="shared" ca="1" si="381"/>
        <v>52.458580090877994</v>
      </c>
      <c r="X852" s="343"/>
      <c r="Y852" s="367" t="str">
        <f t="shared" ca="1" si="399"/>
        <v/>
      </c>
      <c r="Z852" s="368" t="str">
        <f t="shared" ca="1" si="400"/>
        <v/>
      </c>
      <c r="AA852" s="369" t="str">
        <f t="shared" ca="1" si="401"/>
        <v/>
      </c>
      <c r="AB852" s="344"/>
      <c r="AC852" s="363" t="e">
        <f t="shared" ca="1" si="402"/>
        <v>#N/A</v>
      </c>
      <c r="AD852" s="376" t="e">
        <f t="shared" ca="1" si="403"/>
        <v>#N/A</v>
      </c>
      <c r="AE852" s="377" t="e">
        <f t="shared" ca="1" si="382"/>
        <v>#N/A</v>
      </c>
      <c r="AF852" s="344"/>
      <c r="AG852" s="359">
        <f t="shared" ca="1" si="404"/>
        <v>3.6556413130625582</v>
      </c>
      <c r="AH852" s="357">
        <f t="shared" ca="1" si="405"/>
        <v>-6.0631333370652651</v>
      </c>
    </row>
    <row r="853" spans="1:34" x14ac:dyDescent="0.25">
      <c r="A853" s="402">
        <f t="shared" ca="1" si="383"/>
        <v>1E-4</v>
      </c>
      <c r="B853" s="357">
        <f t="shared" ca="1" si="384"/>
        <v>35.613300000000635</v>
      </c>
      <c r="C853" s="342"/>
      <c r="D853" s="359">
        <f t="shared" ca="1" si="385"/>
        <v>-0.82494160692242113</v>
      </c>
      <c r="E853" s="360">
        <f t="shared" ca="1" si="386"/>
        <v>-3.8032081443295889</v>
      </c>
      <c r="F853" s="357">
        <f t="shared" ca="1" si="387"/>
        <v>3.891647574476222</v>
      </c>
      <c r="G853" s="359">
        <f t="shared" ca="1" si="388"/>
        <v>18.702284783234695</v>
      </c>
      <c r="H853" s="360">
        <f t="shared" ca="1" si="389"/>
        <v>-136.1812039099199</v>
      </c>
      <c r="I853" s="357">
        <f t="shared" ca="1" si="390"/>
        <v>137.45943312289774</v>
      </c>
      <c r="J853" s="359">
        <f t="shared" ca="1" si="391"/>
        <v>1009.0500868209435</v>
      </c>
      <c r="K853" s="360">
        <f t="shared" ca="1" si="392"/>
        <v>-12.77080122795862</v>
      </c>
      <c r="L853" s="357">
        <f t="shared" ca="1" si="377"/>
        <v>1009.1308988814869</v>
      </c>
      <c r="M853" s="359">
        <f t="shared" ca="1" si="393"/>
        <v>-1.4343162655845536</v>
      </c>
      <c r="N853" s="357">
        <f t="shared" ca="1" si="394"/>
        <v>-82.18026850496021</v>
      </c>
      <c r="O853" s="343"/>
      <c r="P853" s="363">
        <f t="shared" ca="1" si="395"/>
        <v>23</v>
      </c>
      <c r="Q853" s="357">
        <f t="shared" ca="1" si="396"/>
        <v>0</v>
      </c>
      <c r="R853" s="359">
        <f t="shared" ca="1" si="397"/>
        <v>0</v>
      </c>
      <c r="S853" s="360">
        <f t="shared" ca="1" si="398"/>
        <v>8.6519999999999992</v>
      </c>
      <c r="T853" s="357">
        <f t="shared" ca="1" si="378"/>
        <v>84.87612</v>
      </c>
      <c r="U853" s="364">
        <f t="shared" ca="1" si="379"/>
        <v>0</v>
      </c>
      <c r="V853" s="359">
        <f t="shared" ca="1" si="380"/>
        <v>1.2265654227355547</v>
      </c>
      <c r="W853" s="357">
        <f t="shared" ca="1" si="381"/>
        <v>52.458930548273408</v>
      </c>
      <c r="X853" s="343"/>
      <c r="Y853" s="367" t="str">
        <f t="shared" ca="1" si="399"/>
        <v/>
      </c>
      <c r="Z853" s="368" t="str">
        <f t="shared" ca="1" si="400"/>
        <v/>
      </c>
      <c r="AA853" s="369" t="str">
        <f t="shared" ca="1" si="401"/>
        <v/>
      </c>
      <c r="AB853" s="344"/>
      <c r="AC853" s="363" t="e">
        <f t="shared" ca="1" si="402"/>
        <v>#N/A</v>
      </c>
      <c r="AD853" s="376" t="e">
        <f t="shared" ca="1" si="403"/>
        <v>#N/A</v>
      </c>
      <c r="AE853" s="377" t="e">
        <f t="shared" ca="1" si="382"/>
        <v>#N/A</v>
      </c>
      <c r="AF853" s="344"/>
      <c r="AG853" s="359">
        <f t="shared" ca="1" si="404"/>
        <v>3.6556021030159087</v>
      </c>
      <c r="AH853" s="357">
        <f t="shared" ca="1" si="405"/>
        <v>-6.0631738431435505</v>
      </c>
    </row>
    <row r="854" spans="1:34" x14ac:dyDescent="0.25">
      <c r="A854" s="402">
        <f t="shared" ca="1" si="383"/>
        <v>1E-4</v>
      </c>
      <c r="B854" s="357">
        <f t="shared" ca="1" si="384"/>
        <v>35.613400000000638</v>
      </c>
      <c r="C854" s="342"/>
      <c r="D854" s="359">
        <f t="shared" ca="1" si="385"/>
        <v>-0.82494128545530676</v>
      </c>
      <c r="E854" s="360">
        <f t="shared" ca="1" si="386"/>
        <v>-3.8031672140397026</v>
      </c>
      <c r="F854" s="357">
        <f t="shared" ca="1" si="387"/>
        <v>3.8916075062106619</v>
      </c>
      <c r="G854" s="359">
        <f t="shared" ca="1" si="388"/>
        <v>18.70220228910615</v>
      </c>
      <c r="H854" s="360">
        <f t="shared" ca="1" si="389"/>
        <v>-136.18158422664129</v>
      </c>
      <c r="I854" s="357">
        <f t="shared" ca="1" si="390"/>
        <v>137.45979867925183</v>
      </c>
      <c r="J854" s="359">
        <f t="shared" ca="1" si="391"/>
        <v>1009.0500868209435</v>
      </c>
      <c r="K854" s="360">
        <f t="shared" ca="1" si="392"/>
        <v>-12.784419367365448</v>
      </c>
      <c r="L854" s="357">
        <f t="shared" ca="1" si="377"/>
        <v>1009.1310713142839</v>
      </c>
      <c r="M854" s="359">
        <f t="shared" ca="1" si="393"/>
        <v>-1.4343172365715662</v>
      </c>
      <c r="N854" s="357">
        <f t="shared" ca="1" si="394"/>
        <v>-82.180324138417987</v>
      </c>
      <c r="O854" s="343"/>
      <c r="P854" s="363">
        <f t="shared" ca="1" si="395"/>
        <v>23</v>
      </c>
      <c r="Q854" s="357">
        <f t="shared" ca="1" si="396"/>
        <v>0</v>
      </c>
      <c r="R854" s="359">
        <f t="shared" ca="1" si="397"/>
        <v>0</v>
      </c>
      <c r="S854" s="360">
        <f t="shared" ca="1" si="398"/>
        <v>8.6519999999999992</v>
      </c>
      <c r="T854" s="357">
        <f t="shared" ca="1" si="378"/>
        <v>84.87612</v>
      </c>
      <c r="U854" s="364">
        <f t="shared" ca="1" si="379"/>
        <v>0</v>
      </c>
      <c r="V854" s="359">
        <f t="shared" ca="1" si="380"/>
        <v>1.2265670930912658</v>
      </c>
      <c r="W854" s="357">
        <f t="shared" ca="1" si="381"/>
        <v>52.459281004474896</v>
      </c>
      <c r="X854" s="343"/>
      <c r="Y854" s="367" t="str">
        <f t="shared" ca="1" si="399"/>
        <v/>
      </c>
      <c r="Z854" s="368" t="str">
        <f t="shared" ca="1" si="400"/>
        <v/>
      </c>
      <c r="AA854" s="369" t="str">
        <f t="shared" ca="1" si="401"/>
        <v/>
      </c>
      <c r="AB854" s="344"/>
      <c r="AC854" s="363" t="e">
        <f t="shared" ca="1" si="402"/>
        <v>#N/A</v>
      </c>
      <c r="AD854" s="376" t="e">
        <f t="shared" ca="1" si="403"/>
        <v>#N/A</v>
      </c>
      <c r="AE854" s="377" t="e">
        <f t="shared" ca="1" si="382"/>
        <v>#N/A</v>
      </c>
      <c r="AF854" s="344"/>
      <c r="AG854" s="359">
        <f t="shared" ca="1" si="404"/>
        <v>3.6555628930854773</v>
      </c>
      <c r="AH854" s="357">
        <f t="shared" ca="1" si="405"/>
        <v>-6.063214349083843</v>
      </c>
    </row>
    <row r="855" spans="1:34" x14ac:dyDescent="0.25">
      <c r="A855" s="402">
        <f t="shared" ca="1" si="383"/>
        <v>1E-4</v>
      </c>
      <c r="B855" s="357">
        <f t="shared" ca="1" si="384"/>
        <v>35.613500000000641</v>
      </c>
      <c r="C855" s="342"/>
      <c r="D855" s="359">
        <f t="shared" ca="1" si="385"/>
        <v>-0.82494096394745908</v>
      </c>
      <c r="E855" s="360">
        <f t="shared" ca="1" si="386"/>
        <v>-3.8031262838892808</v>
      </c>
      <c r="F855" s="357">
        <f t="shared" ca="1" si="387"/>
        <v>3.8915674380907306</v>
      </c>
      <c r="G855" s="359">
        <f t="shared" ca="1" si="388"/>
        <v>18.702119795009757</v>
      </c>
      <c r="H855" s="360">
        <f t="shared" ca="1" si="389"/>
        <v>-136.18196453926967</v>
      </c>
      <c r="I855" s="357">
        <f t="shared" ca="1" si="390"/>
        <v>137.46016423168496</v>
      </c>
      <c r="J855" s="359">
        <f t="shared" ca="1" si="391"/>
        <v>1009.0500868209435</v>
      </c>
      <c r="K855" s="360">
        <f t="shared" ca="1" si="392"/>
        <v>-12.798037544803744</v>
      </c>
      <c r="L855" s="357">
        <f t="shared" ca="1" si="377"/>
        <v>1009.1312439313094</v>
      </c>
      <c r="M855" s="359">
        <f t="shared" ca="1" si="393"/>
        <v>-1.4343182075491316</v>
      </c>
      <c r="N855" s="357">
        <f t="shared" ca="1" si="394"/>
        <v>-82.180379771334501</v>
      </c>
      <c r="O855" s="343"/>
      <c r="P855" s="363">
        <f t="shared" ca="1" si="395"/>
        <v>23</v>
      </c>
      <c r="Q855" s="357">
        <f t="shared" ca="1" si="396"/>
        <v>0</v>
      </c>
      <c r="R855" s="359">
        <f t="shared" ca="1" si="397"/>
        <v>0</v>
      </c>
      <c r="S855" s="360">
        <f t="shared" ca="1" si="398"/>
        <v>8.6519999999999992</v>
      </c>
      <c r="T855" s="357">
        <f t="shared" ca="1" si="378"/>
        <v>84.87612</v>
      </c>
      <c r="U855" s="364">
        <f t="shared" ca="1" si="379"/>
        <v>0</v>
      </c>
      <c r="V855" s="359">
        <f t="shared" ca="1" si="380"/>
        <v>1.2265687634539175</v>
      </c>
      <c r="W855" s="357">
        <f t="shared" ca="1" si="381"/>
        <v>52.459631459482402</v>
      </c>
      <c r="X855" s="343"/>
      <c r="Y855" s="367" t="str">
        <f t="shared" ca="1" si="399"/>
        <v/>
      </c>
      <c r="Z855" s="368" t="str">
        <f t="shared" ca="1" si="400"/>
        <v/>
      </c>
      <c r="AA855" s="369" t="str">
        <f t="shared" ca="1" si="401"/>
        <v/>
      </c>
      <c r="AB855" s="344"/>
      <c r="AC855" s="363" t="e">
        <f t="shared" ca="1" si="402"/>
        <v>#N/A</v>
      </c>
      <c r="AD855" s="376" t="e">
        <f t="shared" ca="1" si="403"/>
        <v>#N/A</v>
      </c>
      <c r="AE855" s="377" t="e">
        <f t="shared" ca="1" si="382"/>
        <v>#N/A</v>
      </c>
      <c r="AF855" s="344"/>
      <c r="AG855" s="359">
        <f t="shared" ca="1" si="404"/>
        <v>3.6555236832712703</v>
      </c>
      <c r="AH855" s="357">
        <f t="shared" ca="1" si="405"/>
        <v>-6.063254854886142</v>
      </c>
    </row>
    <row r="856" spans="1:34" x14ac:dyDescent="0.25">
      <c r="A856" s="402">
        <f t="shared" ca="1" si="383"/>
        <v>1E-4</v>
      </c>
      <c r="B856" s="357">
        <f t="shared" ca="1" si="384"/>
        <v>35.613600000000645</v>
      </c>
      <c r="C856" s="342"/>
      <c r="D856" s="359">
        <f t="shared" ca="1" si="385"/>
        <v>-0.82494064239887621</v>
      </c>
      <c r="E856" s="360">
        <f t="shared" ca="1" si="386"/>
        <v>-3.8030853538783305</v>
      </c>
      <c r="F856" s="357">
        <f t="shared" ca="1" si="387"/>
        <v>3.8915273701164348</v>
      </c>
      <c r="G856" s="359">
        <f t="shared" ca="1" si="388"/>
        <v>18.702037300945516</v>
      </c>
      <c r="H856" s="360">
        <f t="shared" ca="1" si="389"/>
        <v>-136.18234484780507</v>
      </c>
      <c r="I856" s="357">
        <f t="shared" ca="1" si="390"/>
        <v>137.46052978019713</v>
      </c>
      <c r="J856" s="359">
        <f t="shared" ca="1" si="391"/>
        <v>1009.0500868209435</v>
      </c>
      <c r="K856" s="360">
        <f t="shared" ca="1" si="392"/>
        <v>-12.811655760273098</v>
      </c>
      <c r="L856" s="357">
        <f t="shared" ca="1" si="377"/>
        <v>1009.1314167325648</v>
      </c>
      <c r="M856" s="359">
        <f t="shared" ca="1" si="393"/>
        <v>-1.43431917851725</v>
      </c>
      <c r="N856" s="357">
        <f t="shared" ca="1" si="394"/>
        <v>-82.180435403709723</v>
      </c>
      <c r="O856" s="343"/>
      <c r="P856" s="363">
        <f t="shared" ca="1" si="395"/>
        <v>23</v>
      </c>
      <c r="Q856" s="357">
        <f t="shared" ca="1" si="396"/>
        <v>0</v>
      </c>
      <c r="R856" s="359">
        <f t="shared" ca="1" si="397"/>
        <v>0</v>
      </c>
      <c r="S856" s="360">
        <f t="shared" ca="1" si="398"/>
        <v>8.6519999999999992</v>
      </c>
      <c r="T856" s="357">
        <f t="shared" ca="1" si="378"/>
        <v>84.87612</v>
      </c>
      <c r="U856" s="364">
        <f t="shared" ca="1" si="379"/>
        <v>0</v>
      </c>
      <c r="V856" s="359">
        <f t="shared" ca="1" si="380"/>
        <v>1.2265704338235106</v>
      </c>
      <c r="W856" s="357">
        <f t="shared" ca="1" si="381"/>
        <v>52.459981913295969</v>
      </c>
      <c r="X856" s="343"/>
      <c r="Y856" s="367" t="str">
        <f t="shared" ca="1" si="399"/>
        <v/>
      </c>
      <c r="Z856" s="368" t="str">
        <f t="shared" ca="1" si="400"/>
        <v/>
      </c>
      <c r="AA856" s="369" t="str">
        <f t="shared" ca="1" si="401"/>
        <v/>
      </c>
      <c r="AB856" s="344"/>
      <c r="AC856" s="363" t="e">
        <f t="shared" ca="1" si="402"/>
        <v>#N/A</v>
      </c>
      <c r="AD856" s="376" t="e">
        <f t="shared" ca="1" si="403"/>
        <v>#N/A</v>
      </c>
      <c r="AE856" s="377" t="e">
        <f t="shared" ca="1" si="382"/>
        <v>#N/A</v>
      </c>
      <c r="AF856" s="344"/>
      <c r="AG856" s="359">
        <f t="shared" ca="1" si="404"/>
        <v>3.6554844735732877</v>
      </c>
      <c r="AH856" s="357">
        <f t="shared" ca="1" si="405"/>
        <v>-6.0632953605504403</v>
      </c>
    </row>
    <row r="857" spans="1:34" x14ac:dyDescent="0.25">
      <c r="A857" s="402">
        <f t="shared" ca="1" si="383"/>
        <v>1E-4</v>
      </c>
      <c r="B857" s="357">
        <f t="shared" ca="1" si="384"/>
        <v>35.613700000000648</v>
      </c>
      <c r="C857" s="342"/>
      <c r="D857" s="359">
        <f t="shared" ca="1" si="385"/>
        <v>-0.82494032080956048</v>
      </c>
      <c r="E857" s="360">
        <f t="shared" ca="1" si="386"/>
        <v>-3.8030444240068482</v>
      </c>
      <c r="F857" s="357">
        <f t="shared" ca="1" si="387"/>
        <v>3.8914873022877718</v>
      </c>
      <c r="G857" s="359">
        <f t="shared" ca="1" si="388"/>
        <v>18.701954806913434</v>
      </c>
      <c r="H857" s="360">
        <f t="shared" ca="1" si="389"/>
        <v>-136.18272515224746</v>
      </c>
      <c r="I857" s="357">
        <f t="shared" ca="1" si="390"/>
        <v>137.46089532478828</v>
      </c>
      <c r="J857" s="359">
        <f t="shared" ca="1" si="391"/>
        <v>1009.0500868209435</v>
      </c>
      <c r="K857" s="360">
        <f t="shared" ca="1" si="392"/>
        <v>-12.8252740137731</v>
      </c>
      <c r="L857" s="357">
        <f t="shared" ca="1" si="377"/>
        <v>1009.1315897180516</v>
      </c>
      <c r="M857" s="359">
        <f t="shared" ca="1" si="393"/>
        <v>-1.434320149475921</v>
      </c>
      <c r="N857" s="357">
        <f t="shared" ca="1" si="394"/>
        <v>-82.180491035543653</v>
      </c>
      <c r="O857" s="343"/>
      <c r="P857" s="363">
        <f t="shared" ca="1" si="395"/>
        <v>23</v>
      </c>
      <c r="Q857" s="357">
        <f t="shared" ca="1" si="396"/>
        <v>0</v>
      </c>
      <c r="R857" s="359">
        <f t="shared" ca="1" si="397"/>
        <v>0</v>
      </c>
      <c r="S857" s="360">
        <f t="shared" ca="1" si="398"/>
        <v>8.6519999999999992</v>
      </c>
      <c r="T857" s="357">
        <f t="shared" ca="1" si="378"/>
        <v>84.87612</v>
      </c>
      <c r="U857" s="364">
        <f t="shared" ca="1" si="379"/>
        <v>0</v>
      </c>
      <c r="V857" s="359">
        <f t="shared" ca="1" si="380"/>
        <v>1.2265721042000444</v>
      </c>
      <c r="W857" s="357">
        <f t="shared" ca="1" si="381"/>
        <v>52.460332365915477</v>
      </c>
      <c r="X857" s="343"/>
      <c r="Y857" s="367" t="str">
        <f t="shared" ca="1" si="399"/>
        <v/>
      </c>
      <c r="Z857" s="368" t="str">
        <f t="shared" ca="1" si="400"/>
        <v/>
      </c>
      <c r="AA857" s="369" t="str">
        <f t="shared" ca="1" si="401"/>
        <v/>
      </c>
      <c r="AB857" s="344"/>
      <c r="AC857" s="363" t="e">
        <f t="shared" ca="1" si="402"/>
        <v>#N/A</v>
      </c>
      <c r="AD857" s="376" t="e">
        <f t="shared" ca="1" si="403"/>
        <v>#N/A</v>
      </c>
      <c r="AE857" s="377" t="e">
        <f t="shared" ca="1" si="382"/>
        <v>#N/A</v>
      </c>
      <c r="AF857" s="344"/>
      <c r="AG857" s="359">
        <f t="shared" ca="1" si="404"/>
        <v>3.6554452639915338</v>
      </c>
      <c r="AH857" s="357">
        <f t="shared" ca="1" si="405"/>
        <v>-6.0633358660767422</v>
      </c>
    </row>
    <row r="858" spans="1:34" x14ac:dyDescent="0.25">
      <c r="A858" s="402">
        <f t="shared" ca="1" si="383"/>
        <v>1E-4</v>
      </c>
      <c r="B858" s="357">
        <f t="shared" ca="1" si="384"/>
        <v>35.613800000000651</v>
      </c>
      <c r="C858" s="342"/>
      <c r="D858" s="359">
        <f t="shared" ca="1" si="385"/>
        <v>-0.82493999917951255</v>
      </c>
      <c r="E858" s="360">
        <f t="shared" ca="1" si="386"/>
        <v>-3.8030034942748472</v>
      </c>
      <c r="F858" s="357">
        <f t="shared" ca="1" si="387"/>
        <v>3.8914472346047546</v>
      </c>
      <c r="G858" s="359">
        <f t="shared" ca="1" si="388"/>
        <v>18.701872312913515</v>
      </c>
      <c r="H858" s="360">
        <f t="shared" ca="1" si="389"/>
        <v>-136.18310545259689</v>
      </c>
      <c r="I858" s="357">
        <f t="shared" ca="1" si="390"/>
        <v>137.46126086545854</v>
      </c>
      <c r="J858" s="359">
        <f t="shared" ca="1" si="391"/>
        <v>1009.0500868209435</v>
      </c>
      <c r="K858" s="360">
        <f t="shared" ca="1" si="392"/>
        <v>-12.838892305303343</v>
      </c>
      <c r="L858" s="357">
        <f t="shared" ca="1" si="377"/>
        <v>1009.1317628877712</v>
      </c>
      <c r="M858" s="359">
        <f t="shared" ca="1" si="393"/>
        <v>-1.4343211204251456</v>
      </c>
      <c r="N858" s="357">
        <f t="shared" ca="1" si="394"/>
        <v>-82.180546666836335</v>
      </c>
      <c r="O858" s="343"/>
      <c r="P858" s="363">
        <f t="shared" ca="1" si="395"/>
        <v>23</v>
      </c>
      <c r="Q858" s="357">
        <f t="shared" ca="1" si="396"/>
        <v>0</v>
      </c>
      <c r="R858" s="359">
        <f t="shared" ca="1" si="397"/>
        <v>0</v>
      </c>
      <c r="S858" s="360">
        <f t="shared" ca="1" si="398"/>
        <v>8.6519999999999992</v>
      </c>
      <c r="T858" s="357">
        <f t="shared" ca="1" si="378"/>
        <v>84.87612</v>
      </c>
      <c r="U858" s="364">
        <f t="shared" ca="1" si="379"/>
        <v>0</v>
      </c>
      <c r="V858" s="359">
        <f t="shared" ca="1" si="380"/>
        <v>1.2265737745835192</v>
      </c>
      <c r="W858" s="357">
        <f t="shared" ca="1" si="381"/>
        <v>52.460682817341009</v>
      </c>
      <c r="X858" s="343"/>
      <c r="Y858" s="367" t="str">
        <f t="shared" ca="1" si="399"/>
        <v/>
      </c>
      <c r="Z858" s="368" t="str">
        <f t="shared" ca="1" si="400"/>
        <v/>
      </c>
      <c r="AA858" s="369" t="str">
        <f t="shared" ca="1" si="401"/>
        <v/>
      </c>
      <c r="AB858" s="344"/>
      <c r="AC858" s="363" t="e">
        <f t="shared" ca="1" si="402"/>
        <v>#N/A</v>
      </c>
      <c r="AD858" s="376" t="e">
        <f t="shared" ca="1" si="403"/>
        <v>#N/A</v>
      </c>
      <c r="AE858" s="377" t="e">
        <f t="shared" ca="1" si="382"/>
        <v>#N/A</v>
      </c>
      <c r="AF858" s="344"/>
      <c r="AG858" s="359">
        <f t="shared" ca="1" si="404"/>
        <v>3.655406054526015</v>
      </c>
      <c r="AH858" s="357">
        <f t="shared" ca="1" si="405"/>
        <v>-6.0633763714650346</v>
      </c>
    </row>
    <row r="859" spans="1:34" x14ac:dyDescent="0.25">
      <c r="A859" s="402">
        <f t="shared" ca="1" si="383"/>
        <v>1E-4</v>
      </c>
      <c r="B859" s="357">
        <f t="shared" ca="1" si="384"/>
        <v>35.613900000000655</v>
      </c>
      <c r="C859" s="342"/>
      <c r="D859" s="359">
        <f t="shared" ca="1" si="385"/>
        <v>-0.82493967750873043</v>
      </c>
      <c r="E859" s="360">
        <f t="shared" ca="1" si="386"/>
        <v>-3.8029625646823177</v>
      </c>
      <c r="F859" s="357">
        <f t="shared" ca="1" si="387"/>
        <v>3.8914071670673733</v>
      </c>
      <c r="G859" s="359">
        <f t="shared" ca="1" si="388"/>
        <v>18.701789818945766</v>
      </c>
      <c r="H859" s="360">
        <f t="shared" ca="1" si="389"/>
        <v>-136.18348574885337</v>
      </c>
      <c r="I859" s="357">
        <f t="shared" ca="1" si="390"/>
        <v>137.46162640220788</v>
      </c>
      <c r="J859" s="359">
        <f t="shared" ca="1" si="391"/>
        <v>1009.0500868209435</v>
      </c>
      <c r="K859" s="360">
        <f t="shared" ca="1" si="392"/>
        <v>-12.852510634863416</v>
      </c>
      <c r="L859" s="357">
        <f t="shared" ca="1" si="377"/>
        <v>1009.131936241725</v>
      </c>
      <c r="M859" s="359">
        <f t="shared" ca="1" si="393"/>
        <v>-1.4343220913649231</v>
      </c>
      <c r="N859" s="357">
        <f t="shared" ca="1" si="394"/>
        <v>-82.180602297587754</v>
      </c>
      <c r="O859" s="343"/>
      <c r="P859" s="363">
        <f t="shared" ca="1" si="395"/>
        <v>23</v>
      </c>
      <c r="Q859" s="357">
        <f t="shared" ca="1" si="396"/>
        <v>0</v>
      </c>
      <c r="R859" s="359">
        <f t="shared" ca="1" si="397"/>
        <v>0</v>
      </c>
      <c r="S859" s="360">
        <f t="shared" ca="1" si="398"/>
        <v>8.6519999999999992</v>
      </c>
      <c r="T859" s="357">
        <f t="shared" ca="1" si="378"/>
        <v>84.87612</v>
      </c>
      <c r="U859" s="364">
        <f t="shared" ca="1" si="379"/>
        <v>0</v>
      </c>
      <c r="V859" s="359">
        <f t="shared" ca="1" si="380"/>
        <v>1.226575444973935</v>
      </c>
      <c r="W859" s="357">
        <f t="shared" ca="1" si="381"/>
        <v>52.461033267572525</v>
      </c>
      <c r="X859" s="343"/>
      <c r="Y859" s="367" t="str">
        <f t="shared" ca="1" si="399"/>
        <v/>
      </c>
      <c r="Z859" s="368" t="str">
        <f t="shared" ca="1" si="400"/>
        <v/>
      </c>
      <c r="AA859" s="369" t="str">
        <f t="shared" ca="1" si="401"/>
        <v/>
      </c>
      <c r="AB859" s="344"/>
      <c r="AC859" s="363" t="e">
        <f t="shared" ca="1" si="402"/>
        <v>#N/A</v>
      </c>
      <c r="AD859" s="376" t="e">
        <f t="shared" ca="1" si="403"/>
        <v>#N/A</v>
      </c>
      <c r="AE859" s="377" t="e">
        <f t="shared" ca="1" si="382"/>
        <v>#N/A</v>
      </c>
      <c r="AF859" s="344"/>
      <c r="AG859" s="359">
        <f t="shared" ca="1" si="404"/>
        <v>3.6553668451767267</v>
      </c>
      <c r="AH859" s="357">
        <f t="shared" ca="1" si="405"/>
        <v>-6.0634168767153271</v>
      </c>
    </row>
    <row r="860" spans="1:34" x14ac:dyDescent="0.25">
      <c r="A860" s="402">
        <f t="shared" ca="1" si="383"/>
        <v>1E-4</v>
      </c>
      <c r="B860" s="357">
        <f t="shared" ca="1" si="384"/>
        <v>35.614000000000658</v>
      </c>
      <c r="C860" s="342"/>
      <c r="D860" s="359">
        <f t="shared" ca="1" si="385"/>
        <v>-0.82493935579721855</v>
      </c>
      <c r="E860" s="360">
        <f t="shared" ca="1" si="386"/>
        <v>-3.8029216352292634</v>
      </c>
      <c r="F860" s="357">
        <f t="shared" ca="1" si="387"/>
        <v>3.8913670996756329</v>
      </c>
      <c r="G860" s="359">
        <f t="shared" ca="1" si="388"/>
        <v>18.701707325010187</v>
      </c>
      <c r="H860" s="360">
        <f t="shared" ca="1" si="389"/>
        <v>-136.1838660410169</v>
      </c>
      <c r="I860" s="357">
        <f t="shared" ca="1" si="390"/>
        <v>137.46199193503625</v>
      </c>
      <c r="J860" s="359">
        <f t="shared" ca="1" si="391"/>
        <v>1009.0500868209435</v>
      </c>
      <c r="K860" s="360">
        <f t="shared" ca="1" si="392"/>
        <v>-12.86612900245291</v>
      </c>
      <c r="L860" s="357">
        <f t="shared" ca="1" si="377"/>
        <v>1009.1321097799146</v>
      </c>
      <c r="M860" s="359">
        <f t="shared" ca="1" si="393"/>
        <v>-1.4343230622952541</v>
      </c>
      <c r="N860" s="357">
        <f t="shared" ca="1" si="394"/>
        <v>-82.180657927797924</v>
      </c>
      <c r="O860" s="343"/>
      <c r="P860" s="363">
        <f t="shared" ca="1" si="395"/>
        <v>23</v>
      </c>
      <c r="Q860" s="357">
        <f t="shared" ca="1" si="396"/>
        <v>0</v>
      </c>
      <c r="R860" s="359">
        <f t="shared" ca="1" si="397"/>
        <v>0</v>
      </c>
      <c r="S860" s="360">
        <f t="shared" ca="1" si="398"/>
        <v>8.6519999999999992</v>
      </c>
      <c r="T860" s="357">
        <f t="shared" ca="1" si="378"/>
        <v>84.87612</v>
      </c>
      <c r="U860" s="364">
        <f t="shared" ca="1" si="379"/>
        <v>0</v>
      </c>
      <c r="V860" s="359">
        <f t="shared" ca="1" si="380"/>
        <v>1.2265771153712917</v>
      </c>
      <c r="W860" s="357">
        <f t="shared" ca="1" si="381"/>
        <v>52.461383716609937</v>
      </c>
      <c r="X860" s="343"/>
      <c r="Y860" s="367" t="str">
        <f t="shared" ca="1" si="399"/>
        <v/>
      </c>
      <c r="Z860" s="368" t="str">
        <f t="shared" ca="1" si="400"/>
        <v/>
      </c>
      <c r="AA860" s="369" t="str">
        <f t="shared" ca="1" si="401"/>
        <v/>
      </c>
      <c r="AB860" s="344"/>
      <c r="AC860" s="363" t="e">
        <f t="shared" ca="1" si="402"/>
        <v>#N/A</v>
      </c>
      <c r="AD860" s="376" t="e">
        <f t="shared" ca="1" si="403"/>
        <v>#N/A</v>
      </c>
      <c r="AE860" s="377" t="e">
        <f t="shared" ca="1" si="382"/>
        <v>#N/A</v>
      </c>
      <c r="AF860" s="344"/>
      <c r="AG860" s="359">
        <f t="shared" ca="1" si="404"/>
        <v>3.6553276359436699</v>
      </c>
      <c r="AH860" s="357">
        <f t="shared" ca="1" si="405"/>
        <v>-6.0634573818276154</v>
      </c>
    </row>
    <row r="861" spans="1:34" x14ac:dyDescent="0.25">
      <c r="A861" s="402">
        <f t="shared" ca="1" si="383"/>
        <v>1E-4</v>
      </c>
      <c r="B861" s="357">
        <f t="shared" ca="1" si="384"/>
        <v>35.614100000000661</v>
      </c>
      <c r="C861" s="342"/>
      <c r="D861" s="359">
        <f t="shared" ca="1" si="385"/>
        <v>-0.82493903404497337</v>
      </c>
      <c r="E861" s="360">
        <f t="shared" ca="1" si="386"/>
        <v>-3.8028807059156957</v>
      </c>
      <c r="F861" s="357">
        <f t="shared" ca="1" si="387"/>
        <v>3.8913270324295435</v>
      </c>
      <c r="G861" s="359">
        <f t="shared" ca="1" si="388"/>
        <v>18.701624831106781</v>
      </c>
      <c r="H861" s="360">
        <f t="shared" ca="1" si="389"/>
        <v>-136.1842463290875</v>
      </c>
      <c r="I861" s="357">
        <f t="shared" ca="1" si="390"/>
        <v>137.46235746394376</v>
      </c>
      <c r="J861" s="359">
        <f t="shared" ca="1" si="391"/>
        <v>1009.0500868209435</v>
      </c>
      <c r="K861" s="360">
        <f t="shared" ca="1" si="392"/>
        <v>-12.879747408071415</v>
      </c>
      <c r="L861" s="357">
        <f t="shared" ca="1" si="377"/>
        <v>1009.1322835023411</v>
      </c>
      <c r="M861" s="359">
        <f t="shared" ca="1" si="393"/>
        <v>-1.4343240332161389</v>
      </c>
      <c r="N861" s="357">
        <f t="shared" ca="1" si="394"/>
        <v>-82.180713557466859</v>
      </c>
      <c r="O861" s="343"/>
      <c r="P861" s="363">
        <f t="shared" ca="1" si="395"/>
        <v>23</v>
      </c>
      <c r="Q861" s="357">
        <f t="shared" ca="1" si="396"/>
        <v>0</v>
      </c>
      <c r="R861" s="359">
        <f t="shared" ca="1" si="397"/>
        <v>0</v>
      </c>
      <c r="S861" s="360">
        <f t="shared" ca="1" si="398"/>
        <v>8.6519999999999992</v>
      </c>
      <c r="T861" s="357">
        <f t="shared" ca="1" si="378"/>
        <v>84.87612</v>
      </c>
      <c r="U861" s="364">
        <f t="shared" ca="1" si="379"/>
        <v>0</v>
      </c>
      <c r="V861" s="359">
        <f t="shared" ca="1" si="380"/>
        <v>1.226578785775589</v>
      </c>
      <c r="W861" s="357">
        <f t="shared" ca="1" si="381"/>
        <v>52.461734164453297</v>
      </c>
      <c r="X861" s="343"/>
      <c r="Y861" s="367" t="str">
        <f t="shared" ca="1" si="399"/>
        <v/>
      </c>
      <c r="Z861" s="368" t="str">
        <f t="shared" ca="1" si="400"/>
        <v/>
      </c>
      <c r="AA861" s="369" t="str">
        <f t="shared" ca="1" si="401"/>
        <v/>
      </c>
      <c r="AB861" s="344"/>
      <c r="AC861" s="363" t="e">
        <f t="shared" ca="1" si="402"/>
        <v>#N/A</v>
      </c>
      <c r="AD861" s="376" t="e">
        <f t="shared" ca="1" si="403"/>
        <v>#N/A</v>
      </c>
      <c r="AE861" s="377" t="e">
        <f t="shared" ca="1" si="382"/>
        <v>#N/A</v>
      </c>
      <c r="AF861" s="344"/>
      <c r="AG861" s="359">
        <f t="shared" ca="1" si="404"/>
        <v>3.6552884268268606</v>
      </c>
      <c r="AH861" s="357">
        <f t="shared" ca="1" si="405"/>
        <v>-6.0634978868018887</v>
      </c>
    </row>
    <row r="862" spans="1:34" x14ac:dyDescent="0.25">
      <c r="A862" s="402">
        <f t="shared" ca="1" si="383"/>
        <v>1E-4</v>
      </c>
      <c r="B862" s="357">
        <f t="shared" ca="1" si="384"/>
        <v>35.614200000000665</v>
      </c>
      <c r="C862" s="342"/>
      <c r="D862" s="359">
        <f t="shared" ca="1" si="385"/>
        <v>-0.82493871225199589</v>
      </c>
      <c r="E862" s="360">
        <f t="shared" ca="1" si="386"/>
        <v>-3.8028397767416076</v>
      </c>
      <c r="F862" s="357">
        <f t="shared" ca="1" si="387"/>
        <v>3.891286965329098</v>
      </c>
      <c r="G862" s="359">
        <f t="shared" ca="1" si="388"/>
        <v>18.701542337235555</v>
      </c>
      <c r="H862" s="360">
        <f t="shared" ca="1" si="389"/>
        <v>-136.18462661306518</v>
      </c>
      <c r="I862" s="357">
        <f t="shared" ca="1" si="390"/>
        <v>137.46272298893032</v>
      </c>
      <c r="J862" s="359">
        <f t="shared" ca="1" si="391"/>
        <v>1009.0500868209435</v>
      </c>
      <c r="K862" s="360">
        <f t="shared" ca="1" si="392"/>
        <v>-12.893365851718523</v>
      </c>
      <c r="L862" s="357">
        <f t="shared" ca="1" si="377"/>
        <v>1009.1324574090063</v>
      </c>
      <c r="M862" s="359">
        <f t="shared" ca="1" si="393"/>
        <v>-1.434325004127577</v>
      </c>
      <c r="N862" s="357">
        <f t="shared" ca="1" si="394"/>
        <v>-82.180769186594546</v>
      </c>
      <c r="O862" s="343"/>
      <c r="P862" s="363">
        <f t="shared" ca="1" si="395"/>
        <v>23</v>
      </c>
      <c r="Q862" s="357">
        <f t="shared" ca="1" si="396"/>
        <v>0</v>
      </c>
      <c r="R862" s="359">
        <f t="shared" ca="1" si="397"/>
        <v>0</v>
      </c>
      <c r="S862" s="360">
        <f t="shared" ca="1" si="398"/>
        <v>8.6519999999999992</v>
      </c>
      <c r="T862" s="357">
        <f t="shared" ca="1" si="378"/>
        <v>84.87612</v>
      </c>
      <c r="U862" s="364">
        <f t="shared" ca="1" si="379"/>
        <v>0</v>
      </c>
      <c r="V862" s="359">
        <f t="shared" ca="1" si="380"/>
        <v>1.2265804561868272</v>
      </c>
      <c r="W862" s="357">
        <f t="shared" ca="1" si="381"/>
        <v>52.462084611102533</v>
      </c>
      <c r="X862" s="343"/>
      <c r="Y862" s="367" t="str">
        <f t="shared" ca="1" si="399"/>
        <v/>
      </c>
      <c r="Z862" s="368" t="str">
        <f t="shared" ca="1" si="400"/>
        <v/>
      </c>
      <c r="AA862" s="369" t="str">
        <f t="shared" ca="1" si="401"/>
        <v/>
      </c>
      <c r="AB862" s="344"/>
      <c r="AC862" s="363" t="e">
        <f t="shared" ca="1" si="402"/>
        <v>#N/A</v>
      </c>
      <c r="AD862" s="376" t="e">
        <f t="shared" ca="1" si="403"/>
        <v>#N/A</v>
      </c>
      <c r="AE862" s="377" t="e">
        <f t="shared" ca="1" si="382"/>
        <v>#N/A</v>
      </c>
      <c r="AF862" s="344"/>
      <c r="AG862" s="359">
        <f t="shared" ca="1" si="404"/>
        <v>3.655249217826289</v>
      </c>
      <c r="AH862" s="357">
        <f t="shared" ca="1" si="405"/>
        <v>-6.0635383916381533</v>
      </c>
    </row>
    <row r="863" spans="1:34" x14ac:dyDescent="0.25">
      <c r="A863" s="402">
        <f t="shared" ca="1" si="383"/>
        <v>1E-4</v>
      </c>
      <c r="B863" s="357">
        <f t="shared" ca="1" si="384"/>
        <v>35.614300000000668</v>
      </c>
      <c r="C863" s="342"/>
      <c r="D863" s="359">
        <f t="shared" ca="1" si="385"/>
        <v>-0.82493839041828887</v>
      </c>
      <c r="E863" s="360">
        <f t="shared" ca="1" si="386"/>
        <v>-3.8027988477070087</v>
      </c>
      <c r="F863" s="357">
        <f t="shared" ca="1" si="387"/>
        <v>3.8912468983743076</v>
      </c>
      <c r="G863" s="359">
        <f t="shared" ca="1" si="388"/>
        <v>18.701459843396513</v>
      </c>
      <c r="H863" s="360">
        <f t="shared" ca="1" si="389"/>
        <v>-136.18500689294996</v>
      </c>
      <c r="I863" s="357">
        <f t="shared" ca="1" si="390"/>
        <v>137.463088509996</v>
      </c>
      <c r="J863" s="359">
        <f t="shared" ca="1" si="391"/>
        <v>1009.0500868209435</v>
      </c>
      <c r="K863" s="360">
        <f t="shared" ca="1" si="392"/>
        <v>-12.906984333393824</v>
      </c>
      <c r="L863" s="357">
        <f t="shared" ca="1" si="377"/>
        <v>1009.1326314999116</v>
      </c>
      <c r="M863" s="359">
        <f t="shared" ca="1" si="393"/>
        <v>-1.4343259750295694</v>
      </c>
      <c r="N863" s="357">
        <f t="shared" ca="1" si="394"/>
        <v>-82.180824815181026</v>
      </c>
      <c r="O863" s="343"/>
      <c r="P863" s="363">
        <f t="shared" ca="1" si="395"/>
        <v>23</v>
      </c>
      <c r="Q863" s="357">
        <f t="shared" ca="1" si="396"/>
        <v>0</v>
      </c>
      <c r="R863" s="359">
        <f t="shared" ca="1" si="397"/>
        <v>0</v>
      </c>
      <c r="S863" s="360">
        <f t="shared" ca="1" si="398"/>
        <v>8.6519999999999992</v>
      </c>
      <c r="T863" s="357">
        <f t="shared" ca="1" si="378"/>
        <v>84.87612</v>
      </c>
      <c r="U863" s="364">
        <f t="shared" ca="1" si="379"/>
        <v>0</v>
      </c>
      <c r="V863" s="359">
        <f t="shared" ca="1" si="380"/>
        <v>1.2265821266050059</v>
      </c>
      <c r="W863" s="357">
        <f t="shared" ca="1" si="381"/>
        <v>52.462435056557617</v>
      </c>
      <c r="X863" s="343"/>
      <c r="Y863" s="367" t="str">
        <f t="shared" ca="1" si="399"/>
        <v/>
      </c>
      <c r="Z863" s="368" t="str">
        <f t="shared" ca="1" si="400"/>
        <v/>
      </c>
      <c r="AA863" s="369" t="str">
        <f t="shared" ca="1" si="401"/>
        <v/>
      </c>
      <c r="AB863" s="344"/>
      <c r="AC863" s="363" t="e">
        <f t="shared" ca="1" si="402"/>
        <v>#N/A</v>
      </c>
      <c r="AD863" s="376" t="e">
        <f t="shared" ca="1" si="403"/>
        <v>#N/A</v>
      </c>
      <c r="AE863" s="377" t="e">
        <f t="shared" ca="1" si="382"/>
        <v>#N/A</v>
      </c>
      <c r="AF863" s="344"/>
      <c r="AG863" s="359">
        <f t="shared" ca="1" si="404"/>
        <v>3.6552100089419675</v>
      </c>
      <c r="AH863" s="357">
        <f t="shared" ca="1" si="405"/>
        <v>-6.0635788963364003</v>
      </c>
    </row>
    <row r="864" spans="1:34" x14ac:dyDescent="0.25">
      <c r="A864" s="402">
        <f t="shared" ca="1" si="383"/>
        <v>1E-4</v>
      </c>
      <c r="B864" s="357">
        <f t="shared" ca="1" si="384"/>
        <v>35.614400000000671</v>
      </c>
      <c r="C864" s="342"/>
      <c r="D864" s="359">
        <f t="shared" ca="1" si="385"/>
        <v>-0.82493806854384866</v>
      </c>
      <c r="E864" s="360">
        <f t="shared" ca="1" si="386"/>
        <v>-3.8027579188119027</v>
      </c>
      <c r="F864" s="357">
        <f t="shared" ca="1" si="387"/>
        <v>3.8912068315651753</v>
      </c>
      <c r="G864" s="359">
        <f t="shared" ca="1" si="388"/>
        <v>18.701377349589659</v>
      </c>
      <c r="H864" s="360">
        <f t="shared" ca="1" si="389"/>
        <v>-136.18538716874184</v>
      </c>
      <c r="I864" s="357">
        <f t="shared" ca="1" si="390"/>
        <v>137.46345402714081</v>
      </c>
      <c r="J864" s="359">
        <f t="shared" ca="1" si="391"/>
        <v>1009.0500868209435</v>
      </c>
      <c r="K864" s="360">
        <f t="shared" ca="1" si="392"/>
        <v>-12.920602853096909</v>
      </c>
      <c r="L864" s="357">
        <f t="shared" ca="1" si="377"/>
        <v>1009.132805775058</v>
      </c>
      <c r="M864" s="359">
        <f t="shared" ca="1" si="393"/>
        <v>-1.4343269459221155</v>
      </c>
      <c r="N864" s="357">
        <f t="shared" ca="1" si="394"/>
        <v>-82.180880443226286</v>
      </c>
      <c r="O864" s="343"/>
      <c r="P864" s="363">
        <f t="shared" ca="1" si="395"/>
        <v>23</v>
      </c>
      <c r="Q864" s="357">
        <f t="shared" ca="1" si="396"/>
        <v>0</v>
      </c>
      <c r="R864" s="359">
        <f t="shared" ca="1" si="397"/>
        <v>0</v>
      </c>
      <c r="S864" s="360">
        <f t="shared" ca="1" si="398"/>
        <v>8.6519999999999992</v>
      </c>
      <c r="T864" s="357">
        <f t="shared" ca="1" si="378"/>
        <v>84.87612</v>
      </c>
      <c r="U864" s="364">
        <f t="shared" ca="1" si="379"/>
        <v>0</v>
      </c>
      <c r="V864" s="359">
        <f t="shared" ca="1" si="380"/>
        <v>1.2265837970301257</v>
      </c>
      <c r="W864" s="357">
        <f t="shared" ca="1" si="381"/>
        <v>52.462785500818597</v>
      </c>
      <c r="X864" s="343"/>
      <c r="Y864" s="367" t="str">
        <f t="shared" ca="1" si="399"/>
        <v/>
      </c>
      <c r="Z864" s="368" t="str">
        <f t="shared" ca="1" si="400"/>
        <v/>
      </c>
      <c r="AA864" s="369" t="str">
        <f t="shared" ca="1" si="401"/>
        <v/>
      </c>
      <c r="AB864" s="344"/>
      <c r="AC864" s="363" t="e">
        <f t="shared" ca="1" si="402"/>
        <v>#N/A</v>
      </c>
      <c r="AD864" s="376" t="e">
        <f t="shared" ca="1" si="403"/>
        <v>#N/A</v>
      </c>
      <c r="AE864" s="377" t="e">
        <f t="shared" ca="1" si="382"/>
        <v>#N/A</v>
      </c>
      <c r="AF864" s="344"/>
      <c r="AG864" s="359">
        <f t="shared" ca="1" si="404"/>
        <v>3.6551708001738952</v>
      </c>
      <c r="AH864" s="357">
        <f t="shared" ca="1" si="405"/>
        <v>-6.0636194008966271</v>
      </c>
    </row>
    <row r="865" spans="1:34" x14ac:dyDescent="0.25">
      <c r="A865" s="402">
        <f t="shared" ca="1" si="383"/>
        <v>1E-4</v>
      </c>
      <c r="B865" s="357">
        <f t="shared" ca="1" si="384"/>
        <v>35.614500000000675</v>
      </c>
      <c r="C865" s="342"/>
      <c r="D865" s="359">
        <f t="shared" ca="1" si="385"/>
        <v>-0.82493774662867969</v>
      </c>
      <c r="E865" s="360">
        <f t="shared" ca="1" si="386"/>
        <v>-3.8027169900562807</v>
      </c>
      <c r="F865" s="357">
        <f t="shared" ca="1" si="387"/>
        <v>3.8911667649016928</v>
      </c>
      <c r="G865" s="359">
        <f t="shared" ca="1" si="388"/>
        <v>18.701294855814997</v>
      </c>
      <c r="H865" s="360">
        <f t="shared" ca="1" si="389"/>
        <v>-136.18576744044086</v>
      </c>
      <c r="I865" s="357">
        <f t="shared" ca="1" si="390"/>
        <v>137.46381954036477</v>
      </c>
      <c r="J865" s="359">
        <f t="shared" ca="1" si="391"/>
        <v>1009.0500868209435</v>
      </c>
      <c r="K865" s="360">
        <f t="shared" ca="1" si="392"/>
        <v>-12.934221410827368</v>
      </c>
      <c r="L865" s="357">
        <f t="shared" ca="1" si="377"/>
        <v>1009.1329802344476</v>
      </c>
      <c r="M865" s="359">
        <f t="shared" ca="1" si="393"/>
        <v>-1.4343279168052157</v>
      </c>
      <c r="N865" s="357">
        <f t="shared" ca="1" si="394"/>
        <v>-82.180936070730326</v>
      </c>
      <c r="O865" s="343"/>
      <c r="P865" s="363">
        <f t="shared" ca="1" si="395"/>
        <v>23</v>
      </c>
      <c r="Q865" s="357">
        <f t="shared" ca="1" si="396"/>
        <v>0</v>
      </c>
      <c r="R865" s="359">
        <f t="shared" ca="1" si="397"/>
        <v>0</v>
      </c>
      <c r="S865" s="360">
        <f t="shared" ca="1" si="398"/>
        <v>8.6519999999999992</v>
      </c>
      <c r="T865" s="357">
        <f t="shared" ca="1" si="378"/>
        <v>84.87612</v>
      </c>
      <c r="U865" s="364">
        <f t="shared" ca="1" si="379"/>
        <v>0</v>
      </c>
      <c r="V865" s="359">
        <f t="shared" ca="1" si="380"/>
        <v>1.2265854674621859</v>
      </c>
      <c r="W865" s="357">
        <f t="shared" ca="1" si="381"/>
        <v>52.463135943885405</v>
      </c>
      <c r="X865" s="343"/>
      <c r="Y865" s="367" t="str">
        <f t="shared" ca="1" si="399"/>
        <v/>
      </c>
      <c r="Z865" s="368" t="str">
        <f t="shared" ca="1" si="400"/>
        <v/>
      </c>
      <c r="AA865" s="369" t="str">
        <f t="shared" ca="1" si="401"/>
        <v/>
      </c>
      <c r="AB865" s="344"/>
      <c r="AC865" s="363" t="e">
        <f t="shared" ca="1" si="402"/>
        <v>#N/A</v>
      </c>
      <c r="AD865" s="376" t="e">
        <f t="shared" ca="1" si="403"/>
        <v>#N/A</v>
      </c>
      <c r="AE865" s="377" t="e">
        <f t="shared" ca="1" si="382"/>
        <v>#N/A</v>
      </c>
      <c r="AF865" s="344"/>
      <c r="AG865" s="359">
        <f t="shared" ca="1" si="404"/>
        <v>3.6551315915220695</v>
      </c>
      <c r="AH865" s="357">
        <f t="shared" ca="1" si="405"/>
        <v>-6.0636599053188398</v>
      </c>
    </row>
    <row r="866" spans="1:34" x14ac:dyDescent="0.25">
      <c r="A866" s="402">
        <f t="shared" ca="1" si="383"/>
        <v>1E-4</v>
      </c>
      <c r="B866" s="357">
        <f t="shared" ca="1" si="384"/>
        <v>35.614600000000678</v>
      </c>
      <c r="C866" s="342"/>
      <c r="D866" s="359">
        <f t="shared" ca="1" si="385"/>
        <v>-0.82493742467278164</v>
      </c>
      <c r="E866" s="360">
        <f t="shared" ca="1" si="386"/>
        <v>-3.8026760614401542</v>
      </c>
      <c r="F866" s="357">
        <f t="shared" ca="1" si="387"/>
        <v>3.891126698383871</v>
      </c>
      <c r="G866" s="359">
        <f t="shared" ca="1" si="388"/>
        <v>18.701212362072528</v>
      </c>
      <c r="H866" s="360">
        <f t="shared" ca="1" si="389"/>
        <v>-136.186147708047</v>
      </c>
      <c r="I866" s="357">
        <f t="shared" ca="1" si="390"/>
        <v>137.46418504966786</v>
      </c>
      <c r="J866" s="359">
        <f t="shared" ca="1" si="391"/>
        <v>1009.0500868209435</v>
      </c>
      <c r="K866" s="360">
        <f t="shared" ca="1" si="392"/>
        <v>-12.947840006584793</v>
      </c>
      <c r="L866" s="357">
        <f t="shared" ca="1" si="377"/>
        <v>1009.1331548780814</v>
      </c>
      <c r="M866" s="359">
        <f t="shared" ca="1" si="393"/>
        <v>-1.4343288876788705</v>
      </c>
      <c r="N866" s="357">
        <f t="shared" ca="1" si="394"/>
        <v>-82.180991697693187</v>
      </c>
      <c r="O866" s="343"/>
      <c r="P866" s="363">
        <f t="shared" ca="1" si="395"/>
        <v>23</v>
      </c>
      <c r="Q866" s="357">
        <f t="shared" ca="1" si="396"/>
        <v>0</v>
      </c>
      <c r="R866" s="359">
        <f t="shared" ca="1" si="397"/>
        <v>0</v>
      </c>
      <c r="S866" s="360">
        <f t="shared" ca="1" si="398"/>
        <v>8.6519999999999992</v>
      </c>
      <c r="T866" s="357">
        <f t="shared" ca="1" si="378"/>
        <v>84.87612</v>
      </c>
      <c r="U866" s="364">
        <f t="shared" ca="1" si="379"/>
        <v>0</v>
      </c>
      <c r="V866" s="359">
        <f t="shared" ca="1" si="380"/>
        <v>1.2265871379011875</v>
      </c>
      <c r="W866" s="357">
        <f t="shared" ca="1" si="381"/>
        <v>52.463486385758053</v>
      </c>
      <c r="X866" s="343"/>
      <c r="Y866" s="367" t="str">
        <f t="shared" ca="1" si="399"/>
        <v/>
      </c>
      <c r="Z866" s="368" t="str">
        <f t="shared" ca="1" si="400"/>
        <v/>
      </c>
      <c r="AA866" s="369" t="str">
        <f t="shared" ca="1" si="401"/>
        <v/>
      </c>
      <c r="AB866" s="344"/>
      <c r="AC866" s="363" t="e">
        <f t="shared" ca="1" si="402"/>
        <v>#N/A</v>
      </c>
      <c r="AD866" s="376" t="e">
        <f t="shared" ca="1" si="403"/>
        <v>#N/A</v>
      </c>
      <c r="AE866" s="377" t="e">
        <f t="shared" ca="1" si="382"/>
        <v>#N/A</v>
      </c>
      <c r="AF866" s="344"/>
      <c r="AG866" s="359">
        <f t="shared" ca="1" si="404"/>
        <v>3.6550923829864992</v>
      </c>
      <c r="AH866" s="357">
        <f t="shared" ca="1" si="405"/>
        <v>-6.0637004096030296</v>
      </c>
    </row>
    <row r="867" spans="1:34" x14ac:dyDescent="0.25">
      <c r="A867" s="402">
        <f t="shared" ca="1" si="383"/>
        <v>1E-4</v>
      </c>
      <c r="B867" s="357">
        <f t="shared" ca="1" si="384"/>
        <v>35.614700000000681</v>
      </c>
      <c r="C867" s="342"/>
      <c r="D867" s="359">
        <f t="shared" ca="1" si="385"/>
        <v>-0.82493710267615161</v>
      </c>
      <c r="E867" s="360">
        <f t="shared" ca="1" si="386"/>
        <v>-3.8026351329635197</v>
      </c>
      <c r="F867" s="357">
        <f t="shared" ca="1" si="387"/>
        <v>3.891086632011707</v>
      </c>
      <c r="G867" s="359">
        <f t="shared" ca="1" si="388"/>
        <v>18.701129868362262</v>
      </c>
      <c r="H867" s="360">
        <f t="shared" ca="1" si="389"/>
        <v>-136.18652797156031</v>
      </c>
      <c r="I867" s="357">
        <f t="shared" ca="1" si="390"/>
        <v>137.46455055505012</v>
      </c>
      <c r="J867" s="359">
        <f t="shared" ca="1" si="391"/>
        <v>1009.0500868209435</v>
      </c>
      <c r="K867" s="360">
        <f t="shared" ca="1" si="392"/>
        <v>-12.961458640368773</v>
      </c>
      <c r="L867" s="357">
        <f t="shared" ca="1" si="377"/>
        <v>1009.1333297059609</v>
      </c>
      <c r="M867" s="359">
        <f t="shared" ca="1" si="393"/>
        <v>-1.4343298585430793</v>
      </c>
      <c r="N867" s="357">
        <f t="shared" ca="1" si="394"/>
        <v>-82.181047324114829</v>
      </c>
      <c r="O867" s="343"/>
      <c r="P867" s="363">
        <f t="shared" ca="1" si="395"/>
        <v>23</v>
      </c>
      <c r="Q867" s="357">
        <f t="shared" ca="1" si="396"/>
        <v>0</v>
      </c>
      <c r="R867" s="359">
        <f t="shared" ca="1" si="397"/>
        <v>0</v>
      </c>
      <c r="S867" s="360">
        <f t="shared" ca="1" si="398"/>
        <v>8.6519999999999992</v>
      </c>
      <c r="T867" s="357">
        <f t="shared" ca="1" si="378"/>
        <v>84.87612</v>
      </c>
      <c r="U867" s="364">
        <f t="shared" ca="1" si="379"/>
        <v>0</v>
      </c>
      <c r="V867" s="359">
        <f t="shared" ca="1" si="380"/>
        <v>1.2265888083471292</v>
      </c>
      <c r="W867" s="357">
        <f t="shared" ca="1" si="381"/>
        <v>52.463836826436477</v>
      </c>
      <c r="X867" s="343"/>
      <c r="Y867" s="367" t="str">
        <f t="shared" ca="1" si="399"/>
        <v/>
      </c>
      <c r="Z867" s="368" t="str">
        <f t="shared" ca="1" si="400"/>
        <v/>
      </c>
      <c r="AA867" s="369" t="str">
        <f t="shared" ca="1" si="401"/>
        <v/>
      </c>
      <c r="AB867" s="344"/>
      <c r="AC867" s="363" t="e">
        <f t="shared" ca="1" si="402"/>
        <v>#N/A</v>
      </c>
      <c r="AD867" s="376" t="e">
        <f t="shared" ca="1" si="403"/>
        <v>#N/A</v>
      </c>
      <c r="AE867" s="377" t="e">
        <f t="shared" ca="1" si="382"/>
        <v>#N/A</v>
      </c>
      <c r="AF867" s="344"/>
      <c r="AG867" s="359">
        <f t="shared" ca="1" si="404"/>
        <v>3.6550531745671853</v>
      </c>
      <c r="AH867" s="357">
        <f t="shared" ca="1" si="405"/>
        <v>-6.0637409137491973</v>
      </c>
    </row>
    <row r="868" spans="1:34" x14ac:dyDescent="0.25">
      <c r="A868" s="402">
        <f t="shared" ca="1" si="383"/>
        <v>1E-4</v>
      </c>
      <c r="B868" s="357">
        <f t="shared" ca="1" si="384"/>
        <v>35.614800000000685</v>
      </c>
      <c r="C868" s="342"/>
      <c r="D868" s="359">
        <f t="shared" ca="1" si="385"/>
        <v>-0.8249367806387945</v>
      </c>
      <c r="E868" s="360">
        <f t="shared" ca="1" si="386"/>
        <v>-3.802594204626387</v>
      </c>
      <c r="F868" s="357">
        <f t="shared" ca="1" si="387"/>
        <v>3.8910465657852109</v>
      </c>
      <c r="G868" s="359">
        <f t="shared" ca="1" si="388"/>
        <v>18.701047374684197</v>
      </c>
      <c r="H868" s="360">
        <f t="shared" ca="1" si="389"/>
        <v>-136.18690823098078</v>
      </c>
      <c r="I868" s="357">
        <f t="shared" ca="1" si="390"/>
        <v>137.46491605651153</v>
      </c>
      <c r="J868" s="359">
        <f t="shared" ca="1" si="391"/>
        <v>1009.0500868209435</v>
      </c>
      <c r="K868" s="360">
        <f t="shared" ca="1" si="392"/>
        <v>-12.9750773121789</v>
      </c>
      <c r="L868" s="357">
        <f t="shared" ca="1" si="377"/>
        <v>1009.1335047180877</v>
      </c>
      <c r="M868" s="359">
        <f t="shared" ca="1" si="393"/>
        <v>-1.434330829397843</v>
      </c>
      <c r="N868" s="357">
        <f t="shared" ca="1" si="394"/>
        <v>-82.181102949995307</v>
      </c>
      <c r="O868" s="343"/>
      <c r="P868" s="363">
        <f t="shared" ca="1" si="395"/>
        <v>23</v>
      </c>
      <c r="Q868" s="357">
        <f t="shared" ca="1" si="396"/>
        <v>0</v>
      </c>
      <c r="R868" s="359">
        <f t="shared" ca="1" si="397"/>
        <v>0</v>
      </c>
      <c r="S868" s="360">
        <f t="shared" ca="1" si="398"/>
        <v>8.6519999999999992</v>
      </c>
      <c r="T868" s="357">
        <f t="shared" ca="1" si="378"/>
        <v>84.87612</v>
      </c>
      <c r="U868" s="364">
        <f t="shared" ca="1" si="379"/>
        <v>0</v>
      </c>
      <c r="V868" s="359">
        <f t="shared" ca="1" si="380"/>
        <v>1.2265904788000115</v>
      </c>
      <c r="W868" s="357">
        <f t="shared" ca="1" si="381"/>
        <v>52.464187265920643</v>
      </c>
      <c r="X868" s="343"/>
      <c r="Y868" s="367" t="str">
        <f t="shared" ca="1" si="399"/>
        <v/>
      </c>
      <c r="Z868" s="368" t="str">
        <f t="shared" ca="1" si="400"/>
        <v/>
      </c>
      <c r="AA868" s="369" t="str">
        <f t="shared" ca="1" si="401"/>
        <v/>
      </c>
      <c r="AB868" s="344"/>
      <c r="AC868" s="363" t="e">
        <f t="shared" ca="1" si="402"/>
        <v>#N/A</v>
      </c>
      <c r="AD868" s="376" t="e">
        <f t="shared" ca="1" si="403"/>
        <v>#N/A</v>
      </c>
      <c r="AE868" s="377" t="e">
        <f t="shared" ca="1" si="382"/>
        <v>#N/A</v>
      </c>
      <c r="AF868" s="344"/>
      <c r="AG868" s="359">
        <f t="shared" ca="1" si="404"/>
        <v>3.6550139662641303</v>
      </c>
      <c r="AH868" s="357">
        <f t="shared" ca="1" si="405"/>
        <v>-6.0637814177573368</v>
      </c>
    </row>
    <row r="869" spans="1:34" x14ac:dyDescent="0.25">
      <c r="A869" s="402">
        <f t="shared" ca="1" si="383"/>
        <v>1E-4</v>
      </c>
      <c r="B869" s="357">
        <f t="shared" ca="1" si="384"/>
        <v>35.614900000000688</v>
      </c>
      <c r="C869" s="342"/>
      <c r="D869" s="359">
        <f t="shared" ca="1" si="385"/>
        <v>-0.8249364585607063</v>
      </c>
      <c r="E869" s="360">
        <f t="shared" ca="1" si="386"/>
        <v>-3.8025532764287568</v>
      </c>
      <c r="F869" s="357">
        <f t="shared" ca="1" si="387"/>
        <v>3.8910064997043827</v>
      </c>
      <c r="G869" s="359">
        <f t="shared" ca="1" si="388"/>
        <v>18.700964881038342</v>
      </c>
      <c r="H869" s="360">
        <f t="shared" ca="1" si="389"/>
        <v>-136.18728848630843</v>
      </c>
      <c r="I869" s="357">
        <f t="shared" ca="1" si="390"/>
        <v>137.46528155405213</v>
      </c>
      <c r="J869" s="359">
        <f t="shared" ca="1" si="391"/>
        <v>1009.0500868209435</v>
      </c>
      <c r="K869" s="360">
        <f t="shared" ca="1" si="392"/>
        <v>-12.988696022014764</v>
      </c>
      <c r="L869" s="357">
        <f t="shared" ca="1" si="377"/>
        <v>1009.1336799144631</v>
      </c>
      <c r="M869" s="359">
        <f t="shared" ca="1" si="393"/>
        <v>-1.4343318002431613</v>
      </c>
      <c r="N869" s="357">
        <f t="shared" ca="1" si="394"/>
        <v>-82.181158575334607</v>
      </c>
      <c r="O869" s="343"/>
      <c r="P869" s="363">
        <f t="shared" ca="1" si="395"/>
        <v>23</v>
      </c>
      <c r="Q869" s="357">
        <f t="shared" ca="1" si="396"/>
        <v>0</v>
      </c>
      <c r="R869" s="359">
        <f t="shared" ca="1" si="397"/>
        <v>0</v>
      </c>
      <c r="S869" s="360">
        <f t="shared" ca="1" si="398"/>
        <v>8.6519999999999992</v>
      </c>
      <c r="T869" s="357">
        <f t="shared" ca="1" si="378"/>
        <v>84.87612</v>
      </c>
      <c r="U869" s="364">
        <f t="shared" ca="1" si="379"/>
        <v>0</v>
      </c>
      <c r="V869" s="359">
        <f t="shared" ca="1" si="380"/>
        <v>1.2265921492598346</v>
      </c>
      <c r="W869" s="357">
        <f t="shared" ca="1" si="381"/>
        <v>52.464537704210592</v>
      </c>
      <c r="X869" s="343"/>
      <c r="Y869" s="367" t="str">
        <f t="shared" ca="1" si="399"/>
        <v/>
      </c>
      <c r="Z869" s="368" t="str">
        <f t="shared" ca="1" si="400"/>
        <v/>
      </c>
      <c r="AA869" s="369" t="str">
        <f t="shared" ca="1" si="401"/>
        <v/>
      </c>
      <c r="AB869" s="344"/>
      <c r="AC869" s="363" t="e">
        <f t="shared" ca="1" si="402"/>
        <v>#N/A</v>
      </c>
      <c r="AD869" s="376" t="e">
        <f t="shared" ca="1" si="403"/>
        <v>#N/A</v>
      </c>
      <c r="AE869" s="377" t="e">
        <f t="shared" ca="1" si="382"/>
        <v>#N/A</v>
      </c>
      <c r="AF869" s="344"/>
      <c r="AG869" s="359">
        <f t="shared" ca="1" si="404"/>
        <v>3.6549747580773415</v>
      </c>
      <c r="AH869" s="357">
        <f t="shared" ca="1" si="405"/>
        <v>-6.0638219216274445</v>
      </c>
    </row>
    <row r="870" spans="1:34" x14ac:dyDescent="0.25">
      <c r="A870" s="402">
        <f t="shared" ca="1" si="383"/>
        <v>1E-4</v>
      </c>
      <c r="B870" s="357">
        <f t="shared" ca="1" si="384"/>
        <v>35.615000000000691</v>
      </c>
      <c r="C870" s="342"/>
      <c r="D870" s="359">
        <f t="shared" ca="1" si="385"/>
        <v>-0.8249361364418899</v>
      </c>
      <c r="E870" s="360">
        <f t="shared" ca="1" si="386"/>
        <v>-3.8025123483706276</v>
      </c>
      <c r="F870" s="357">
        <f t="shared" ca="1" si="387"/>
        <v>3.890966433769222</v>
      </c>
      <c r="G870" s="359">
        <f t="shared" ca="1" si="388"/>
        <v>18.700882387424699</v>
      </c>
      <c r="H870" s="360">
        <f t="shared" ca="1" si="389"/>
        <v>-136.18766873754328</v>
      </c>
      <c r="I870" s="357">
        <f t="shared" ca="1" si="390"/>
        <v>137.46564704767192</v>
      </c>
      <c r="J870" s="359">
        <f t="shared" ca="1" si="391"/>
        <v>1009.0500868209435</v>
      </c>
      <c r="K870" s="360">
        <f t="shared" ca="1" si="392"/>
        <v>-13.002314769875957</v>
      </c>
      <c r="L870" s="357">
        <f t="shared" ca="1" si="377"/>
        <v>1009.1338552950886</v>
      </c>
      <c r="M870" s="359">
        <f t="shared" ca="1" si="393"/>
        <v>-1.4343327710790343</v>
      </c>
      <c r="N870" s="357">
        <f t="shared" ca="1" si="394"/>
        <v>-82.181214200132729</v>
      </c>
      <c r="O870" s="343"/>
      <c r="P870" s="363">
        <f t="shared" ca="1" si="395"/>
        <v>23</v>
      </c>
      <c r="Q870" s="357">
        <f t="shared" ca="1" si="396"/>
        <v>0</v>
      </c>
      <c r="R870" s="359">
        <f t="shared" ca="1" si="397"/>
        <v>0</v>
      </c>
      <c r="S870" s="360">
        <f t="shared" ca="1" si="398"/>
        <v>8.6519999999999992</v>
      </c>
      <c r="T870" s="357">
        <f t="shared" ca="1" si="378"/>
        <v>84.87612</v>
      </c>
      <c r="U870" s="364">
        <f t="shared" ca="1" si="379"/>
        <v>0</v>
      </c>
      <c r="V870" s="359">
        <f t="shared" ca="1" si="380"/>
        <v>1.2265938197265986</v>
      </c>
      <c r="W870" s="357">
        <f t="shared" ca="1" si="381"/>
        <v>52.464888141306282</v>
      </c>
      <c r="X870" s="343"/>
      <c r="Y870" s="367" t="str">
        <f t="shared" ca="1" si="399"/>
        <v/>
      </c>
      <c r="Z870" s="368" t="str">
        <f t="shared" ca="1" si="400"/>
        <v/>
      </c>
      <c r="AA870" s="369" t="str">
        <f t="shared" ca="1" si="401"/>
        <v/>
      </c>
      <c r="AB870" s="344"/>
      <c r="AC870" s="363" t="e">
        <f t="shared" ca="1" si="402"/>
        <v>#N/A</v>
      </c>
      <c r="AD870" s="376" t="e">
        <f t="shared" ca="1" si="403"/>
        <v>#N/A</v>
      </c>
      <c r="AE870" s="377" t="e">
        <f t="shared" ca="1" si="382"/>
        <v>#N/A</v>
      </c>
      <c r="AF870" s="344"/>
      <c r="AG870" s="359">
        <f t="shared" ca="1" si="404"/>
        <v>3.6549355500068161</v>
      </c>
      <c r="AH870" s="357">
        <f t="shared" ca="1" si="405"/>
        <v>-6.063862425359523</v>
      </c>
    </row>
    <row r="871" spans="1:34" x14ac:dyDescent="0.25">
      <c r="A871" s="402">
        <f t="shared" ca="1" si="383"/>
        <v>1E-4</v>
      </c>
      <c r="B871" s="357">
        <f t="shared" ca="1" si="384"/>
        <v>35.615100000000695</v>
      </c>
      <c r="C871" s="342"/>
      <c r="D871" s="359">
        <f t="shared" ca="1" si="385"/>
        <v>-0.82493581428234652</v>
      </c>
      <c r="E871" s="360">
        <f t="shared" ca="1" si="386"/>
        <v>-3.8024714204520009</v>
      </c>
      <c r="F871" s="357">
        <f t="shared" ca="1" si="387"/>
        <v>3.8909263679797301</v>
      </c>
      <c r="G871" s="359">
        <f t="shared" ca="1" si="388"/>
        <v>18.700799893843271</v>
      </c>
      <c r="H871" s="360">
        <f t="shared" ca="1" si="389"/>
        <v>-136.18804898468531</v>
      </c>
      <c r="I871" s="357">
        <f t="shared" ca="1" si="390"/>
        <v>137.46601253737089</v>
      </c>
      <c r="J871" s="359">
        <f t="shared" ca="1" si="391"/>
        <v>1009.0500868209435</v>
      </c>
      <c r="K871" s="360">
        <f t="shared" ca="1" si="392"/>
        <v>-13.015933555762068</v>
      </c>
      <c r="L871" s="357">
        <f t="shared" ca="1" si="377"/>
        <v>1009.1340308599654</v>
      </c>
      <c r="M871" s="359">
        <f t="shared" ca="1" si="393"/>
        <v>-1.4343337419054625</v>
      </c>
      <c r="N871" s="357">
        <f t="shared" ca="1" si="394"/>
        <v>-82.181269824389702</v>
      </c>
      <c r="O871" s="343"/>
      <c r="P871" s="363">
        <f t="shared" ca="1" si="395"/>
        <v>23</v>
      </c>
      <c r="Q871" s="357">
        <f t="shared" ca="1" si="396"/>
        <v>0</v>
      </c>
      <c r="R871" s="359">
        <f t="shared" ca="1" si="397"/>
        <v>0</v>
      </c>
      <c r="S871" s="360">
        <f t="shared" ca="1" si="398"/>
        <v>8.6519999999999992</v>
      </c>
      <c r="T871" s="357">
        <f t="shared" ca="1" si="378"/>
        <v>84.87612</v>
      </c>
      <c r="U871" s="364">
        <f t="shared" ca="1" si="379"/>
        <v>0</v>
      </c>
      <c r="V871" s="359">
        <f t="shared" ca="1" si="380"/>
        <v>1.2265954902003027</v>
      </c>
      <c r="W871" s="357">
        <f t="shared" ca="1" si="381"/>
        <v>52.465238577207643</v>
      </c>
      <c r="X871" s="343"/>
      <c r="Y871" s="367" t="str">
        <f t="shared" ca="1" si="399"/>
        <v/>
      </c>
      <c r="Z871" s="368" t="str">
        <f t="shared" ca="1" si="400"/>
        <v/>
      </c>
      <c r="AA871" s="369" t="str">
        <f t="shared" ca="1" si="401"/>
        <v/>
      </c>
      <c r="AB871" s="344"/>
      <c r="AC871" s="363" t="e">
        <f t="shared" ca="1" si="402"/>
        <v>#N/A</v>
      </c>
      <c r="AD871" s="376" t="e">
        <f t="shared" ca="1" si="403"/>
        <v>#N/A</v>
      </c>
      <c r="AE871" s="377" t="e">
        <f t="shared" ca="1" si="382"/>
        <v>#N/A</v>
      </c>
      <c r="AF871" s="344"/>
      <c r="AG871" s="359">
        <f t="shared" ca="1" si="404"/>
        <v>3.6548963420525586</v>
      </c>
      <c r="AH871" s="357">
        <f t="shared" ca="1" si="405"/>
        <v>-6.0639029289535697</v>
      </c>
    </row>
    <row r="872" spans="1:34" x14ac:dyDescent="0.25">
      <c r="A872" s="402">
        <f t="shared" ca="1" si="383"/>
        <v>1E-4</v>
      </c>
      <c r="B872" s="357">
        <f t="shared" ca="1" si="384"/>
        <v>35.615200000000698</v>
      </c>
      <c r="C872" s="342"/>
      <c r="D872" s="359">
        <f t="shared" ca="1" si="385"/>
        <v>-0.82493549208207406</v>
      </c>
      <c r="E872" s="360">
        <f t="shared" ca="1" si="386"/>
        <v>-3.8024304926728876</v>
      </c>
      <c r="F872" s="357">
        <f t="shared" ca="1" si="387"/>
        <v>3.8908863023359181</v>
      </c>
      <c r="G872" s="359">
        <f t="shared" ca="1" si="388"/>
        <v>18.700717400294064</v>
      </c>
      <c r="H872" s="360">
        <f t="shared" ca="1" si="389"/>
        <v>-136.18842922773459</v>
      </c>
      <c r="I872" s="357">
        <f t="shared" ca="1" si="390"/>
        <v>137.46637802314913</v>
      </c>
      <c r="J872" s="359">
        <f t="shared" ca="1" si="391"/>
        <v>1009.0500868209435</v>
      </c>
      <c r="K872" s="360">
        <f t="shared" ca="1" si="392"/>
        <v>-13.029552379672689</v>
      </c>
      <c r="L872" s="357">
        <f t="shared" ca="1" si="377"/>
        <v>1009.1342066090954</v>
      </c>
      <c r="M872" s="359">
        <f t="shared" ca="1" si="393"/>
        <v>-1.4343347127224457</v>
      </c>
      <c r="N872" s="357">
        <f t="shared" ca="1" si="394"/>
        <v>-82.181325448105525</v>
      </c>
      <c r="O872" s="343"/>
      <c r="P872" s="363">
        <f t="shared" ca="1" si="395"/>
        <v>23</v>
      </c>
      <c r="Q872" s="357">
        <f t="shared" ca="1" si="396"/>
        <v>0</v>
      </c>
      <c r="R872" s="359">
        <f t="shared" ca="1" si="397"/>
        <v>0</v>
      </c>
      <c r="S872" s="360">
        <f t="shared" ca="1" si="398"/>
        <v>8.6519999999999992</v>
      </c>
      <c r="T872" s="357">
        <f t="shared" ca="1" si="378"/>
        <v>84.87612</v>
      </c>
      <c r="U872" s="364">
        <f t="shared" ca="1" si="379"/>
        <v>0</v>
      </c>
      <c r="V872" s="359">
        <f t="shared" ca="1" si="380"/>
        <v>1.2265971606809476</v>
      </c>
      <c r="W872" s="357">
        <f t="shared" ca="1" si="381"/>
        <v>52.465589011914766</v>
      </c>
      <c r="X872" s="343"/>
      <c r="Y872" s="367" t="str">
        <f t="shared" ca="1" si="399"/>
        <v/>
      </c>
      <c r="Z872" s="368" t="str">
        <f t="shared" ca="1" si="400"/>
        <v/>
      </c>
      <c r="AA872" s="369" t="str">
        <f t="shared" ca="1" si="401"/>
        <v/>
      </c>
      <c r="AB872" s="344"/>
      <c r="AC872" s="363" t="e">
        <f t="shared" ca="1" si="402"/>
        <v>#N/A</v>
      </c>
      <c r="AD872" s="376" t="e">
        <f t="shared" ca="1" si="403"/>
        <v>#N/A</v>
      </c>
      <c r="AE872" s="377" t="e">
        <f t="shared" ca="1" si="382"/>
        <v>#N/A</v>
      </c>
      <c r="AF872" s="344"/>
      <c r="AG872" s="359">
        <f t="shared" ca="1" si="404"/>
        <v>3.6548571342145744</v>
      </c>
      <c r="AH872" s="357">
        <f t="shared" ca="1" si="405"/>
        <v>-6.0639434324095758</v>
      </c>
    </row>
    <row r="873" spans="1:34" x14ac:dyDescent="0.25">
      <c r="A873" s="402">
        <f t="shared" ca="1" si="383"/>
        <v>1E-4</v>
      </c>
      <c r="B873" s="357">
        <f t="shared" ca="1" si="384"/>
        <v>35.615300000000701</v>
      </c>
      <c r="C873" s="342"/>
      <c r="D873" s="359">
        <f t="shared" ca="1" si="385"/>
        <v>-0.82493516984107529</v>
      </c>
      <c r="E873" s="360">
        <f t="shared" ca="1" si="386"/>
        <v>-3.802389565033276</v>
      </c>
      <c r="F873" s="357">
        <f t="shared" ca="1" si="387"/>
        <v>3.8908462368377741</v>
      </c>
      <c r="G873" s="359">
        <f t="shared" ca="1" si="388"/>
        <v>18.700634906777079</v>
      </c>
      <c r="H873" s="360">
        <f t="shared" ca="1" si="389"/>
        <v>-136.18880946669108</v>
      </c>
      <c r="I873" s="357">
        <f t="shared" ca="1" si="390"/>
        <v>137.46674350500652</v>
      </c>
      <c r="J873" s="359">
        <f t="shared" ca="1" si="391"/>
        <v>1009.0500868209435</v>
      </c>
      <c r="K873" s="360">
        <f t="shared" ca="1" si="392"/>
        <v>-13.043171241607411</v>
      </c>
      <c r="L873" s="357">
        <f t="shared" ca="1" si="377"/>
        <v>1009.1343825424796</v>
      </c>
      <c r="M873" s="359">
        <f t="shared" ca="1" si="393"/>
        <v>-1.4343356835299843</v>
      </c>
      <c r="N873" s="357">
        <f t="shared" ca="1" si="394"/>
        <v>-82.1813810712802</v>
      </c>
      <c r="O873" s="343"/>
      <c r="P873" s="363">
        <f t="shared" ca="1" si="395"/>
        <v>23</v>
      </c>
      <c r="Q873" s="357">
        <f t="shared" ca="1" si="396"/>
        <v>0</v>
      </c>
      <c r="R873" s="359">
        <f t="shared" ca="1" si="397"/>
        <v>0</v>
      </c>
      <c r="S873" s="360">
        <f t="shared" ca="1" si="398"/>
        <v>8.6519999999999992</v>
      </c>
      <c r="T873" s="357">
        <f t="shared" ca="1" si="378"/>
        <v>84.87612</v>
      </c>
      <c r="U873" s="364">
        <f t="shared" ca="1" si="379"/>
        <v>0</v>
      </c>
      <c r="V873" s="359">
        <f t="shared" ca="1" si="380"/>
        <v>1.2265988311685327</v>
      </c>
      <c r="W873" s="357">
        <f t="shared" ca="1" si="381"/>
        <v>52.465939445427466</v>
      </c>
      <c r="X873" s="343"/>
      <c r="Y873" s="367" t="str">
        <f t="shared" ca="1" si="399"/>
        <v/>
      </c>
      <c r="Z873" s="368" t="str">
        <f t="shared" ca="1" si="400"/>
        <v/>
      </c>
      <c r="AA873" s="369" t="str">
        <f t="shared" ca="1" si="401"/>
        <v/>
      </c>
      <c r="AB873" s="344"/>
      <c r="AC873" s="363" t="e">
        <f t="shared" ca="1" si="402"/>
        <v>#N/A</v>
      </c>
      <c r="AD873" s="376" t="e">
        <f t="shared" ca="1" si="403"/>
        <v>#N/A</v>
      </c>
      <c r="AE873" s="377" t="e">
        <f t="shared" ca="1" si="382"/>
        <v>#N/A</v>
      </c>
      <c r="AF873" s="344"/>
      <c r="AG873" s="359">
        <f t="shared" ca="1" si="404"/>
        <v>3.6548179264928589</v>
      </c>
      <c r="AH873" s="357">
        <f t="shared" ca="1" si="405"/>
        <v>-6.0639839357275509</v>
      </c>
    </row>
    <row r="874" spans="1:34" x14ac:dyDescent="0.25">
      <c r="A874" s="402">
        <f t="shared" ca="1" si="383"/>
        <v>1E-4</v>
      </c>
      <c r="B874" s="357">
        <f t="shared" ca="1" si="384"/>
        <v>35.615400000000704</v>
      </c>
      <c r="C874" s="342"/>
      <c r="D874" s="359">
        <f t="shared" ca="1" si="385"/>
        <v>-0.82493484755934754</v>
      </c>
      <c r="E874" s="360">
        <f t="shared" ca="1" si="386"/>
        <v>-3.8023486375331883</v>
      </c>
      <c r="F874" s="357">
        <f t="shared" ca="1" si="387"/>
        <v>3.8908061714853206</v>
      </c>
      <c r="G874" s="359">
        <f t="shared" ca="1" si="388"/>
        <v>18.700552413292325</v>
      </c>
      <c r="H874" s="360">
        <f t="shared" ca="1" si="389"/>
        <v>-136.18918970155482</v>
      </c>
      <c r="I874" s="357">
        <f t="shared" ca="1" si="390"/>
        <v>137.46710898294319</v>
      </c>
      <c r="J874" s="359">
        <f t="shared" ca="1" si="391"/>
        <v>1009.0500868209435</v>
      </c>
      <c r="K874" s="360">
        <f t="shared" ca="1" si="392"/>
        <v>-13.056790141565823</v>
      </c>
      <c r="L874" s="357">
        <f t="shared" ca="1" si="377"/>
        <v>1009.1345586601198</v>
      </c>
      <c r="M874" s="359">
        <f t="shared" ca="1" si="393"/>
        <v>-1.4343366543280784</v>
      </c>
      <c r="N874" s="357">
        <f t="shared" ca="1" si="394"/>
        <v>-82.181436693913753</v>
      </c>
      <c r="O874" s="343"/>
      <c r="P874" s="363">
        <f t="shared" ca="1" si="395"/>
        <v>23</v>
      </c>
      <c r="Q874" s="357">
        <f t="shared" ca="1" si="396"/>
        <v>0</v>
      </c>
      <c r="R874" s="359">
        <f t="shared" ca="1" si="397"/>
        <v>0</v>
      </c>
      <c r="S874" s="360">
        <f t="shared" ca="1" si="398"/>
        <v>8.6519999999999992</v>
      </c>
      <c r="T874" s="357">
        <f t="shared" ca="1" si="378"/>
        <v>84.87612</v>
      </c>
      <c r="U874" s="364">
        <f t="shared" ca="1" si="379"/>
        <v>0</v>
      </c>
      <c r="V874" s="359">
        <f t="shared" ca="1" si="380"/>
        <v>1.2266005016630588</v>
      </c>
      <c r="W874" s="357">
        <f t="shared" ca="1" si="381"/>
        <v>52.466289877745865</v>
      </c>
      <c r="X874" s="343"/>
      <c r="Y874" s="367" t="str">
        <f t="shared" ca="1" si="399"/>
        <v/>
      </c>
      <c r="Z874" s="368" t="str">
        <f t="shared" ca="1" si="400"/>
        <v/>
      </c>
      <c r="AA874" s="369" t="str">
        <f t="shared" ca="1" si="401"/>
        <v/>
      </c>
      <c r="AB874" s="344"/>
      <c r="AC874" s="363" t="e">
        <f t="shared" ca="1" si="402"/>
        <v>#N/A</v>
      </c>
      <c r="AD874" s="376" t="e">
        <f t="shared" ca="1" si="403"/>
        <v>#N/A</v>
      </c>
      <c r="AE874" s="377" t="e">
        <f t="shared" ca="1" si="382"/>
        <v>#N/A</v>
      </c>
      <c r="AF874" s="344"/>
      <c r="AG874" s="359">
        <f t="shared" ca="1" si="404"/>
        <v>3.654778718887429</v>
      </c>
      <c r="AH874" s="357">
        <f t="shared" ca="1" si="405"/>
        <v>-6.0640244389074747</v>
      </c>
    </row>
    <row r="875" spans="1:34" x14ac:dyDescent="0.25">
      <c r="A875" s="402">
        <f t="shared" ca="1" si="383"/>
        <v>1E-4</v>
      </c>
      <c r="B875" s="357">
        <f t="shared" ca="1" si="384"/>
        <v>35.615500000000708</v>
      </c>
      <c r="C875" s="342"/>
      <c r="D875" s="359">
        <f t="shared" ca="1" si="385"/>
        <v>-0.82493452523689281</v>
      </c>
      <c r="E875" s="360">
        <f t="shared" ca="1" si="386"/>
        <v>-3.8023077101726095</v>
      </c>
      <c r="F875" s="357">
        <f t="shared" ca="1" si="387"/>
        <v>3.8907661062785426</v>
      </c>
      <c r="G875" s="359">
        <f t="shared" ca="1" si="388"/>
        <v>18.700469919839801</v>
      </c>
      <c r="H875" s="360">
        <f t="shared" ca="1" si="389"/>
        <v>-136.18956993232584</v>
      </c>
      <c r="I875" s="357">
        <f t="shared" ca="1" si="390"/>
        <v>137.46747445695911</v>
      </c>
      <c r="J875" s="359">
        <f t="shared" ca="1" si="391"/>
        <v>1009.0500868209435</v>
      </c>
      <c r="K875" s="360">
        <f t="shared" ca="1" si="392"/>
        <v>-13.070409079547517</v>
      </c>
      <c r="L875" s="357">
        <f t="shared" ca="1" si="377"/>
        <v>1009.1347349620171</v>
      </c>
      <c r="M875" s="359">
        <f t="shared" ca="1" si="393"/>
        <v>-1.4343376251167279</v>
      </c>
      <c r="N875" s="357">
        <f t="shared" ca="1" si="394"/>
        <v>-82.181492316006171</v>
      </c>
      <c r="O875" s="343"/>
      <c r="P875" s="363">
        <f t="shared" ca="1" si="395"/>
        <v>23</v>
      </c>
      <c r="Q875" s="357">
        <f t="shared" ca="1" si="396"/>
        <v>0</v>
      </c>
      <c r="R875" s="359">
        <f t="shared" ca="1" si="397"/>
        <v>0</v>
      </c>
      <c r="S875" s="360">
        <f t="shared" ca="1" si="398"/>
        <v>8.6519999999999992</v>
      </c>
      <c r="T875" s="357">
        <f t="shared" ca="1" si="378"/>
        <v>84.87612</v>
      </c>
      <c r="U875" s="364">
        <f t="shared" ca="1" si="379"/>
        <v>0</v>
      </c>
      <c r="V875" s="359">
        <f t="shared" ca="1" si="380"/>
        <v>1.2266021721645251</v>
      </c>
      <c r="W875" s="357">
        <f t="shared" ca="1" si="381"/>
        <v>52.466640308869891</v>
      </c>
      <c r="X875" s="343"/>
      <c r="Y875" s="367" t="str">
        <f t="shared" ca="1" si="399"/>
        <v/>
      </c>
      <c r="Z875" s="368" t="str">
        <f t="shared" ca="1" si="400"/>
        <v/>
      </c>
      <c r="AA875" s="369" t="str">
        <f t="shared" ca="1" si="401"/>
        <v/>
      </c>
      <c r="AB875" s="344"/>
      <c r="AC875" s="363" t="e">
        <f t="shared" ca="1" si="402"/>
        <v>#N/A</v>
      </c>
      <c r="AD875" s="376" t="e">
        <f t="shared" ca="1" si="403"/>
        <v>#N/A</v>
      </c>
      <c r="AE875" s="377" t="e">
        <f t="shared" ca="1" si="382"/>
        <v>#N/A</v>
      </c>
      <c r="AF875" s="344"/>
      <c r="AG875" s="359">
        <f t="shared" ca="1" si="404"/>
        <v>3.654739511398275</v>
      </c>
      <c r="AH875" s="357">
        <f t="shared" ca="1" si="405"/>
        <v>-6.0640649419493604</v>
      </c>
    </row>
    <row r="876" spans="1:34" x14ac:dyDescent="0.25">
      <c r="A876" s="402">
        <f t="shared" ca="1" si="383"/>
        <v>1E-4</v>
      </c>
      <c r="B876" s="357">
        <f t="shared" ca="1" si="384"/>
        <v>35.615600000000711</v>
      </c>
      <c r="C876" s="342"/>
      <c r="D876" s="359">
        <f t="shared" ca="1" si="385"/>
        <v>-0.82493420287371311</v>
      </c>
      <c r="E876" s="360">
        <f t="shared" ca="1" si="386"/>
        <v>-3.8022667829515475</v>
      </c>
      <c r="F876" s="357">
        <f t="shared" ca="1" si="387"/>
        <v>3.8907260412174485</v>
      </c>
      <c r="G876" s="359">
        <f t="shared" ca="1" si="388"/>
        <v>18.700387426419514</v>
      </c>
      <c r="H876" s="360">
        <f t="shared" ca="1" si="389"/>
        <v>-136.18995015900413</v>
      </c>
      <c r="I876" s="357">
        <f t="shared" ca="1" si="390"/>
        <v>137.46783992705429</v>
      </c>
      <c r="J876" s="359">
        <f t="shared" ca="1" si="391"/>
        <v>1009.0500868209435</v>
      </c>
      <c r="K876" s="360">
        <f t="shared" ca="1" si="392"/>
        <v>-13.084028055552084</v>
      </c>
      <c r="L876" s="357">
        <f t="shared" ca="1" si="377"/>
        <v>1009.1349114481731</v>
      </c>
      <c r="M876" s="359">
        <f t="shared" ca="1" si="393"/>
        <v>-1.4343385958959334</v>
      </c>
      <c r="N876" s="357">
        <f t="shared" ca="1" si="394"/>
        <v>-82.181547937557482</v>
      </c>
      <c r="O876" s="343"/>
      <c r="P876" s="363">
        <f t="shared" ca="1" si="395"/>
        <v>23</v>
      </c>
      <c r="Q876" s="357">
        <f t="shared" ca="1" si="396"/>
        <v>0</v>
      </c>
      <c r="R876" s="359">
        <f t="shared" ca="1" si="397"/>
        <v>0</v>
      </c>
      <c r="S876" s="360">
        <f t="shared" ca="1" si="398"/>
        <v>8.6519999999999992</v>
      </c>
      <c r="T876" s="357">
        <f t="shared" ca="1" si="378"/>
        <v>84.87612</v>
      </c>
      <c r="U876" s="364">
        <f t="shared" ca="1" si="379"/>
        <v>0</v>
      </c>
      <c r="V876" s="359">
        <f t="shared" ca="1" si="380"/>
        <v>1.226603842672932</v>
      </c>
      <c r="W876" s="357">
        <f t="shared" ca="1" si="381"/>
        <v>52.466990738799538</v>
      </c>
      <c r="X876" s="343"/>
      <c r="Y876" s="367" t="str">
        <f t="shared" ca="1" si="399"/>
        <v/>
      </c>
      <c r="Z876" s="368" t="str">
        <f t="shared" ca="1" si="400"/>
        <v/>
      </c>
      <c r="AA876" s="369" t="str">
        <f t="shared" ca="1" si="401"/>
        <v/>
      </c>
      <c r="AB876" s="344"/>
      <c r="AC876" s="363" t="e">
        <f t="shared" ca="1" si="402"/>
        <v>#N/A</v>
      </c>
      <c r="AD876" s="376" t="e">
        <f t="shared" ca="1" si="403"/>
        <v>#N/A</v>
      </c>
      <c r="AE876" s="377" t="e">
        <f t="shared" ca="1" si="382"/>
        <v>#N/A</v>
      </c>
      <c r="AF876" s="344"/>
      <c r="AG876" s="359">
        <f t="shared" ca="1" si="404"/>
        <v>3.6547003040254005</v>
      </c>
      <c r="AH876" s="357">
        <f t="shared" ca="1" si="405"/>
        <v>-6.064105444853201</v>
      </c>
    </row>
    <row r="877" spans="1:34" x14ac:dyDescent="0.25">
      <c r="A877" s="402">
        <f t="shared" ca="1" si="383"/>
        <v>1E-4</v>
      </c>
      <c r="B877" s="357">
        <f t="shared" ca="1" si="384"/>
        <v>35.615700000000714</v>
      </c>
      <c r="C877" s="342"/>
      <c r="D877" s="359">
        <f t="shared" ca="1" si="385"/>
        <v>-0.82493388046980609</v>
      </c>
      <c r="E877" s="360">
        <f t="shared" ca="1" si="386"/>
        <v>-3.8022258558700051</v>
      </c>
      <c r="F877" s="357">
        <f t="shared" ca="1" si="387"/>
        <v>3.8906859763020409</v>
      </c>
      <c r="G877" s="359">
        <f t="shared" ca="1" si="388"/>
        <v>18.700304933031468</v>
      </c>
      <c r="H877" s="360">
        <f t="shared" ca="1" si="389"/>
        <v>-136.19033038158972</v>
      </c>
      <c r="I877" s="357">
        <f t="shared" ca="1" si="390"/>
        <v>137.46820539322874</v>
      </c>
      <c r="J877" s="359">
        <f t="shared" ca="1" si="391"/>
        <v>1009.0500868209435</v>
      </c>
      <c r="K877" s="360">
        <f t="shared" ca="1" si="392"/>
        <v>-13.097647069579114</v>
      </c>
      <c r="L877" s="357">
        <f t="shared" ca="1" si="377"/>
        <v>1009.1350881185892</v>
      </c>
      <c r="M877" s="359">
        <f t="shared" ca="1" si="393"/>
        <v>-1.4343395666656944</v>
      </c>
      <c r="N877" s="357">
        <f t="shared" ca="1" si="394"/>
        <v>-82.181603558567673</v>
      </c>
      <c r="O877" s="343"/>
      <c r="P877" s="363">
        <f t="shared" ca="1" si="395"/>
        <v>23</v>
      </c>
      <c r="Q877" s="357">
        <f t="shared" ca="1" si="396"/>
        <v>0</v>
      </c>
      <c r="R877" s="359">
        <f t="shared" ca="1" si="397"/>
        <v>0</v>
      </c>
      <c r="S877" s="360">
        <f t="shared" ca="1" si="398"/>
        <v>8.6519999999999992</v>
      </c>
      <c r="T877" s="357">
        <f t="shared" ca="1" si="378"/>
        <v>84.87612</v>
      </c>
      <c r="U877" s="364">
        <f t="shared" ca="1" si="379"/>
        <v>0</v>
      </c>
      <c r="V877" s="359">
        <f t="shared" ca="1" si="380"/>
        <v>1.2266055131882787</v>
      </c>
      <c r="W877" s="357">
        <f t="shared" ca="1" si="381"/>
        <v>52.467341167534741</v>
      </c>
      <c r="X877" s="343"/>
      <c r="Y877" s="367" t="str">
        <f t="shared" ca="1" si="399"/>
        <v/>
      </c>
      <c r="Z877" s="368" t="str">
        <f t="shared" ca="1" si="400"/>
        <v/>
      </c>
      <c r="AA877" s="369" t="str">
        <f t="shared" ca="1" si="401"/>
        <v/>
      </c>
      <c r="AB877" s="344"/>
      <c r="AC877" s="363" t="e">
        <f t="shared" ca="1" si="402"/>
        <v>#N/A</v>
      </c>
      <c r="AD877" s="376" t="e">
        <f t="shared" ca="1" si="403"/>
        <v>#N/A</v>
      </c>
      <c r="AE877" s="377" t="e">
        <f t="shared" ca="1" si="382"/>
        <v>#N/A</v>
      </c>
      <c r="AF877" s="344"/>
      <c r="AG877" s="359">
        <f t="shared" ca="1" si="404"/>
        <v>3.6546610967688125</v>
      </c>
      <c r="AH877" s="357">
        <f t="shared" ca="1" si="405"/>
        <v>-6.0641459476189947</v>
      </c>
    </row>
    <row r="878" spans="1:34" x14ac:dyDescent="0.25">
      <c r="A878" s="402">
        <f t="shared" ca="1" si="383"/>
        <v>1E-4</v>
      </c>
      <c r="B878" s="357">
        <f t="shared" ca="1" si="384"/>
        <v>35.615800000000718</v>
      </c>
      <c r="C878" s="342"/>
      <c r="D878" s="359">
        <f t="shared" ca="1" si="385"/>
        <v>-0.82493355802517432</v>
      </c>
      <c r="E878" s="360">
        <f t="shared" ca="1" si="386"/>
        <v>-3.8021849289279874</v>
      </c>
      <c r="F878" s="357">
        <f t="shared" ca="1" si="387"/>
        <v>3.8906459115323253</v>
      </c>
      <c r="G878" s="359">
        <f t="shared" ca="1" si="388"/>
        <v>18.700222439675667</v>
      </c>
      <c r="H878" s="360">
        <f t="shared" ca="1" si="389"/>
        <v>-136.19071060008261</v>
      </c>
      <c r="I878" s="357">
        <f t="shared" ca="1" si="390"/>
        <v>137.46857085548245</v>
      </c>
      <c r="J878" s="359">
        <f t="shared" ca="1" si="391"/>
        <v>1009.0500868209435</v>
      </c>
      <c r="K878" s="360">
        <f t="shared" ca="1" si="392"/>
        <v>-13.111266121628198</v>
      </c>
      <c r="L878" s="357">
        <f t="shared" ca="1" si="377"/>
        <v>1009.135264973267</v>
      </c>
      <c r="M878" s="359">
        <f t="shared" ca="1" si="393"/>
        <v>-1.4343405374260116</v>
      </c>
      <c r="N878" s="357">
        <f t="shared" ca="1" si="394"/>
        <v>-82.181659179036771</v>
      </c>
      <c r="O878" s="343"/>
      <c r="P878" s="363">
        <f t="shared" ca="1" si="395"/>
        <v>23</v>
      </c>
      <c r="Q878" s="357">
        <f t="shared" ca="1" si="396"/>
        <v>0</v>
      </c>
      <c r="R878" s="359">
        <f t="shared" ca="1" si="397"/>
        <v>0</v>
      </c>
      <c r="S878" s="360">
        <f t="shared" ca="1" si="398"/>
        <v>8.6519999999999992</v>
      </c>
      <c r="T878" s="357">
        <f t="shared" ca="1" si="378"/>
        <v>84.87612</v>
      </c>
      <c r="U878" s="364">
        <f t="shared" ca="1" si="379"/>
        <v>0</v>
      </c>
      <c r="V878" s="359">
        <f t="shared" ca="1" si="380"/>
        <v>1.2266071837105663</v>
      </c>
      <c r="W878" s="357">
        <f t="shared" ca="1" si="381"/>
        <v>52.467691595075529</v>
      </c>
      <c r="X878" s="343"/>
      <c r="Y878" s="367" t="str">
        <f t="shared" ca="1" si="399"/>
        <v/>
      </c>
      <c r="Z878" s="368" t="str">
        <f t="shared" ca="1" si="400"/>
        <v/>
      </c>
      <c r="AA878" s="369" t="str">
        <f t="shared" ca="1" si="401"/>
        <v/>
      </c>
      <c r="AB878" s="344"/>
      <c r="AC878" s="363" t="e">
        <f t="shared" ca="1" si="402"/>
        <v>#N/A</v>
      </c>
      <c r="AD878" s="376" t="e">
        <f t="shared" ca="1" si="403"/>
        <v>#N/A</v>
      </c>
      <c r="AE878" s="377" t="e">
        <f t="shared" ca="1" si="382"/>
        <v>#N/A</v>
      </c>
      <c r="AF878" s="344"/>
      <c r="AG878" s="359">
        <f t="shared" ca="1" si="404"/>
        <v>3.6546218896285163</v>
      </c>
      <c r="AH878" s="357">
        <f t="shared" ca="1" si="405"/>
        <v>-6.0641864502467344</v>
      </c>
    </row>
    <row r="879" spans="1:34" x14ac:dyDescent="0.25">
      <c r="A879" s="402">
        <f t="shared" ca="1" si="383"/>
        <v>1E-4</v>
      </c>
      <c r="B879" s="357">
        <f t="shared" ca="1" si="384"/>
        <v>35.615900000000721</v>
      </c>
      <c r="C879" s="342"/>
      <c r="D879" s="359">
        <f t="shared" ca="1" si="385"/>
        <v>-0.82493323553981612</v>
      </c>
      <c r="E879" s="360">
        <f t="shared" ca="1" si="386"/>
        <v>-3.8021440021254929</v>
      </c>
      <c r="F879" s="357">
        <f t="shared" ca="1" si="387"/>
        <v>3.8906058469082998</v>
      </c>
      <c r="G879" s="359">
        <f t="shared" ca="1" si="388"/>
        <v>18.700139946352113</v>
      </c>
      <c r="H879" s="360">
        <f t="shared" ca="1" si="389"/>
        <v>-136.19109081448283</v>
      </c>
      <c r="I879" s="357">
        <f t="shared" ca="1" si="390"/>
        <v>137.4689363138155</v>
      </c>
      <c r="J879" s="359">
        <f t="shared" ca="1" si="391"/>
        <v>1009.0500868209435</v>
      </c>
      <c r="K879" s="360">
        <f t="shared" ca="1" si="392"/>
        <v>-13.124885211698926</v>
      </c>
      <c r="L879" s="357">
        <f t="shared" ca="1" si="377"/>
        <v>1009.1354420122077</v>
      </c>
      <c r="M879" s="359">
        <f t="shared" ca="1" si="393"/>
        <v>-1.4343415081768849</v>
      </c>
      <c r="N879" s="357">
        <f t="shared" ca="1" si="394"/>
        <v>-82.181714798964762</v>
      </c>
      <c r="O879" s="343"/>
      <c r="P879" s="363">
        <f t="shared" ca="1" si="395"/>
        <v>23</v>
      </c>
      <c r="Q879" s="357">
        <f t="shared" ca="1" si="396"/>
        <v>0</v>
      </c>
      <c r="R879" s="359">
        <f t="shared" ca="1" si="397"/>
        <v>0</v>
      </c>
      <c r="S879" s="360">
        <f t="shared" ca="1" si="398"/>
        <v>8.6519999999999992</v>
      </c>
      <c r="T879" s="357">
        <f t="shared" ca="1" si="378"/>
        <v>84.87612</v>
      </c>
      <c r="U879" s="364">
        <f t="shared" ca="1" si="379"/>
        <v>0</v>
      </c>
      <c r="V879" s="359">
        <f t="shared" ca="1" si="380"/>
        <v>1.2266088542397942</v>
      </c>
      <c r="W879" s="357">
        <f t="shared" ca="1" si="381"/>
        <v>52.468042021421873</v>
      </c>
      <c r="X879" s="343"/>
      <c r="Y879" s="367" t="str">
        <f t="shared" ca="1" si="399"/>
        <v/>
      </c>
      <c r="Z879" s="368" t="str">
        <f t="shared" ca="1" si="400"/>
        <v/>
      </c>
      <c r="AA879" s="369" t="str">
        <f t="shared" ca="1" si="401"/>
        <v/>
      </c>
      <c r="AB879" s="344"/>
      <c r="AC879" s="363" t="e">
        <f t="shared" ca="1" si="402"/>
        <v>#N/A</v>
      </c>
      <c r="AD879" s="376" t="e">
        <f t="shared" ca="1" si="403"/>
        <v>#N/A</v>
      </c>
      <c r="AE879" s="377" t="e">
        <f t="shared" ca="1" si="382"/>
        <v>#N/A</v>
      </c>
      <c r="AF879" s="344"/>
      <c r="AG879" s="359">
        <f t="shared" ca="1" si="404"/>
        <v>3.6545826826045094</v>
      </c>
      <c r="AH879" s="357">
        <f t="shared" ca="1" si="405"/>
        <v>-6.0642269527364228</v>
      </c>
    </row>
    <row r="880" spans="1:34" x14ac:dyDescent="0.25">
      <c r="A880" s="402">
        <f t="shared" ca="1" si="383"/>
        <v>1E-4</v>
      </c>
      <c r="B880" s="357">
        <f t="shared" ca="1" si="384"/>
        <v>35.616000000000724</v>
      </c>
      <c r="C880" s="342"/>
      <c r="D880" s="359">
        <f t="shared" ca="1" si="385"/>
        <v>-0.82493291301373406</v>
      </c>
      <c r="E880" s="360">
        <f t="shared" ca="1" si="386"/>
        <v>-3.802103075462524</v>
      </c>
      <c r="F880" s="357">
        <f t="shared" ca="1" si="387"/>
        <v>3.890565782429968</v>
      </c>
      <c r="G880" s="359">
        <f t="shared" ca="1" si="388"/>
        <v>18.700057453060811</v>
      </c>
      <c r="H880" s="360">
        <f t="shared" ca="1" si="389"/>
        <v>-136.19147102479039</v>
      </c>
      <c r="I880" s="357">
        <f t="shared" ca="1" si="390"/>
        <v>137.46930176822787</v>
      </c>
      <c r="J880" s="359">
        <f t="shared" ca="1" si="391"/>
        <v>1009.0500868209435</v>
      </c>
      <c r="K880" s="360">
        <f t="shared" ca="1" si="392"/>
        <v>-13.13850433979089</v>
      </c>
      <c r="L880" s="357">
        <f t="shared" ca="1" si="377"/>
        <v>1009.1356192354129</v>
      </c>
      <c r="M880" s="359">
        <f t="shared" ca="1" si="393"/>
        <v>-1.4343424789183146</v>
      </c>
      <c r="N880" s="357">
        <f t="shared" ca="1" si="394"/>
        <v>-82.181770418351675</v>
      </c>
      <c r="O880" s="343"/>
      <c r="P880" s="363">
        <f t="shared" ca="1" si="395"/>
        <v>23</v>
      </c>
      <c r="Q880" s="357">
        <f t="shared" ca="1" si="396"/>
        <v>0</v>
      </c>
      <c r="R880" s="359">
        <f t="shared" ca="1" si="397"/>
        <v>0</v>
      </c>
      <c r="S880" s="360">
        <f t="shared" ca="1" si="398"/>
        <v>8.6519999999999992</v>
      </c>
      <c r="T880" s="357">
        <f t="shared" ca="1" si="378"/>
        <v>84.87612</v>
      </c>
      <c r="U880" s="364">
        <f t="shared" ca="1" si="379"/>
        <v>0</v>
      </c>
      <c r="V880" s="359">
        <f t="shared" ca="1" si="380"/>
        <v>1.2266105247759622</v>
      </c>
      <c r="W880" s="357">
        <f t="shared" ca="1" si="381"/>
        <v>52.468392446573738</v>
      </c>
      <c r="X880" s="343"/>
      <c r="Y880" s="367" t="str">
        <f t="shared" ca="1" si="399"/>
        <v/>
      </c>
      <c r="Z880" s="368" t="str">
        <f t="shared" ca="1" si="400"/>
        <v/>
      </c>
      <c r="AA880" s="369" t="str">
        <f t="shared" ca="1" si="401"/>
        <v/>
      </c>
      <c r="AB880" s="344"/>
      <c r="AC880" s="363" t="e">
        <f t="shared" ca="1" si="402"/>
        <v>#N/A</v>
      </c>
      <c r="AD880" s="376" t="e">
        <f t="shared" ca="1" si="403"/>
        <v>#N/A</v>
      </c>
      <c r="AE880" s="377" t="e">
        <f t="shared" ca="1" si="382"/>
        <v>#N/A</v>
      </c>
      <c r="AF880" s="344"/>
      <c r="AG880" s="359">
        <f t="shared" ca="1" si="404"/>
        <v>3.6545434756967934</v>
      </c>
      <c r="AH880" s="357">
        <f t="shared" ca="1" si="405"/>
        <v>-6.064267455088058</v>
      </c>
    </row>
    <row r="881" spans="1:34" x14ac:dyDescent="0.25">
      <c r="A881" s="402">
        <f t="shared" ca="1" si="383"/>
        <v>1E-4</v>
      </c>
      <c r="B881" s="357">
        <f t="shared" ca="1" si="384"/>
        <v>35.616100000000728</v>
      </c>
      <c r="C881" s="342"/>
      <c r="D881" s="359">
        <f t="shared" ca="1" si="385"/>
        <v>-0.82493259044692646</v>
      </c>
      <c r="E881" s="360">
        <f t="shared" ca="1" si="386"/>
        <v>-3.8020621489390853</v>
      </c>
      <c r="F881" s="357">
        <f t="shared" ca="1" si="387"/>
        <v>3.8905257180973334</v>
      </c>
      <c r="G881" s="359">
        <f t="shared" ca="1" si="388"/>
        <v>18.699974959801768</v>
      </c>
      <c r="H881" s="360">
        <f t="shared" ca="1" si="389"/>
        <v>-136.19185123100527</v>
      </c>
      <c r="I881" s="357">
        <f t="shared" ca="1" si="390"/>
        <v>137.46966721871951</v>
      </c>
      <c r="J881" s="359">
        <f t="shared" ca="1" si="391"/>
        <v>1009.0500868209435</v>
      </c>
      <c r="K881" s="360">
        <f t="shared" ca="1" si="392"/>
        <v>-13.152123505903679</v>
      </c>
      <c r="L881" s="357">
        <f t="shared" ca="1" si="377"/>
        <v>1009.1357966428841</v>
      </c>
      <c r="M881" s="359">
        <f t="shared" ca="1" si="393"/>
        <v>-1.4343434496503007</v>
      </c>
      <c r="N881" s="357">
        <f t="shared" ca="1" si="394"/>
        <v>-82.181826037197524</v>
      </c>
      <c r="O881" s="343"/>
      <c r="P881" s="363">
        <f t="shared" ca="1" si="395"/>
        <v>23</v>
      </c>
      <c r="Q881" s="357">
        <f t="shared" ca="1" si="396"/>
        <v>0</v>
      </c>
      <c r="R881" s="359">
        <f t="shared" ca="1" si="397"/>
        <v>0</v>
      </c>
      <c r="S881" s="360">
        <f t="shared" ca="1" si="398"/>
        <v>8.6519999999999992</v>
      </c>
      <c r="T881" s="357">
        <f t="shared" ca="1" si="378"/>
        <v>84.87612</v>
      </c>
      <c r="U881" s="364">
        <f t="shared" ca="1" si="379"/>
        <v>0</v>
      </c>
      <c r="V881" s="359">
        <f t="shared" ca="1" si="380"/>
        <v>1.226612195319071</v>
      </c>
      <c r="W881" s="357">
        <f t="shared" ca="1" si="381"/>
        <v>52.468742870531102</v>
      </c>
      <c r="X881" s="343"/>
      <c r="Y881" s="367" t="str">
        <f t="shared" ca="1" si="399"/>
        <v/>
      </c>
      <c r="Z881" s="368" t="str">
        <f t="shared" ca="1" si="400"/>
        <v/>
      </c>
      <c r="AA881" s="369" t="str">
        <f t="shared" ca="1" si="401"/>
        <v/>
      </c>
      <c r="AB881" s="344"/>
      <c r="AC881" s="363" t="e">
        <f t="shared" ca="1" si="402"/>
        <v>#N/A</v>
      </c>
      <c r="AD881" s="376" t="e">
        <f t="shared" ca="1" si="403"/>
        <v>#N/A</v>
      </c>
      <c r="AE881" s="377" t="e">
        <f t="shared" ca="1" si="382"/>
        <v>#N/A</v>
      </c>
      <c r="AF881" s="344"/>
      <c r="AG881" s="359">
        <f t="shared" ca="1" si="404"/>
        <v>3.6545042689053755</v>
      </c>
      <c r="AH881" s="357">
        <f t="shared" ca="1" si="405"/>
        <v>-6.0643079573016347</v>
      </c>
    </row>
    <row r="882" spans="1:34" x14ac:dyDescent="0.25">
      <c r="A882" s="402">
        <f t="shared" ca="1" si="383"/>
        <v>1E-4</v>
      </c>
      <c r="B882" s="357">
        <f t="shared" ca="1" si="384"/>
        <v>35.616200000000731</v>
      </c>
      <c r="C882" s="342"/>
      <c r="D882" s="359">
        <f t="shared" ca="1" si="385"/>
        <v>-0.824932267839394</v>
      </c>
      <c r="E882" s="360">
        <f t="shared" ca="1" si="386"/>
        <v>-3.8020212225551786</v>
      </c>
      <c r="F882" s="357">
        <f t="shared" ca="1" si="387"/>
        <v>3.8904856539103982</v>
      </c>
      <c r="G882" s="359">
        <f t="shared" ca="1" si="388"/>
        <v>18.699892466574983</v>
      </c>
      <c r="H882" s="360">
        <f t="shared" ca="1" si="389"/>
        <v>-136.19223143312752</v>
      </c>
      <c r="I882" s="357">
        <f t="shared" ca="1" si="390"/>
        <v>137.47003266529049</v>
      </c>
      <c r="J882" s="359">
        <f t="shared" ca="1" si="391"/>
        <v>1009.0500868209435</v>
      </c>
      <c r="K882" s="360">
        <f t="shared" ca="1" si="392"/>
        <v>-13.165742710036886</v>
      </c>
      <c r="L882" s="357">
        <f t="shared" ca="1" si="377"/>
        <v>1009.1359742346225</v>
      </c>
      <c r="M882" s="359">
        <f t="shared" ca="1" si="393"/>
        <v>-1.4343444203728433</v>
      </c>
      <c r="N882" s="357">
        <f t="shared" ca="1" si="394"/>
        <v>-82.181881655502295</v>
      </c>
      <c r="O882" s="343"/>
      <c r="P882" s="363">
        <f t="shared" ca="1" si="395"/>
        <v>23</v>
      </c>
      <c r="Q882" s="357">
        <f t="shared" ca="1" si="396"/>
        <v>0</v>
      </c>
      <c r="R882" s="359">
        <f t="shared" ca="1" si="397"/>
        <v>0</v>
      </c>
      <c r="S882" s="360">
        <f t="shared" ca="1" si="398"/>
        <v>8.6519999999999992</v>
      </c>
      <c r="T882" s="357">
        <f t="shared" ca="1" si="378"/>
        <v>84.87612</v>
      </c>
      <c r="U882" s="364">
        <f t="shared" ca="1" si="379"/>
        <v>0</v>
      </c>
      <c r="V882" s="359">
        <f t="shared" ca="1" si="380"/>
        <v>1.2266138658691197</v>
      </c>
      <c r="W882" s="357">
        <f t="shared" ca="1" si="381"/>
        <v>52.469093293293945</v>
      </c>
      <c r="X882" s="343"/>
      <c r="Y882" s="367" t="str">
        <f t="shared" ca="1" si="399"/>
        <v/>
      </c>
      <c r="Z882" s="368" t="str">
        <f t="shared" ca="1" si="400"/>
        <v/>
      </c>
      <c r="AA882" s="369" t="str">
        <f t="shared" ca="1" si="401"/>
        <v/>
      </c>
      <c r="AB882" s="344"/>
      <c r="AC882" s="363" t="e">
        <f t="shared" ca="1" si="402"/>
        <v>#N/A</v>
      </c>
      <c r="AD882" s="376" t="e">
        <f t="shared" ca="1" si="403"/>
        <v>#N/A</v>
      </c>
      <c r="AE882" s="377" t="e">
        <f t="shared" ca="1" si="382"/>
        <v>#N/A</v>
      </c>
      <c r="AF882" s="344"/>
      <c r="AG882" s="359">
        <f t="shared" ca="1" si="404"/>
        <v>3.6544650622302584</v>
      </c>
      <c r="AH882" s="357">
        <f t="shared" ca="1" si="405"/>
        <v>-6.0643484593771504</v>
      </c>
    </row>
    <row r="883" spans="1:34" x14ac:dyDescent="0.25">
      <c r="A883" s="402">
        <f t="shared" ca="1" si="383"/>
        <v>1E-4</v>
      </c>
      <c r="B883" s="357">
        <f t="shared" ca="1" si="384"/>
        <v>35.616300000000734</v>
      </c>
      <c r="C883" s="342"/>
      <c r="D883" s="359">
        <f t="shared" ca="1" si="385"/>
        <v>-0.82493194519113855</v>
      </c>
      <c r="E883" s="360">
        <f t="shared" ca="1" si="386"/>
        <v>-3.8019802963108082</v>
      </c>
      <c r="F883" s="357">
        <f t="shared" ca="1" si="387"/>
        <v>3.8904455898691679</v>
      </c>
      <c r="G883" s="359">
        <f t="shared" ca="1" si="388"/>
        <v>18.699809973380464</v>
      </c>
      <c r="H883" s="360">
        <f t="shared" ca="1" si="389"/>
        <v>-136.19261163115715</v>
      </c>
      <c r="I883" s="357">
        <f t="shared" ca="1" si="390"/>
        <v>137.47039810794084</v>
      </c>
      <c r="J883" s="359">
        <f t="shared" ca="1" si="391"/>
        <v>1009.0500868209435</v>
      </c>
      <c r="K883" s="360">
        <f t="shared" ca="1" si="392"/>
        <v>-13.179361952190101</v>
      </c>
      <c r="L883" s="357">
        <f t="shared" ca="1" si="377"/>
        <v>1009.1361520106296</v>
      </c>
      <c r="M883" s="359">
        <f t="shared" ca="1" si="393"/>
        <v>-1.4343453910859427</v>
      </c>
      <c r="N883" s="357">
        <f t="shared" ca="1" si="394"/>
        <v>-82.181937273266016</v>
      </c>
      <c r="O883" s="343"/>
      <c r="P883" s="363">
        <f t="shared" ca="1" si="395"/>
        <v>23</v>
      </c>
      <c r="Q883" s="357">
        <f t="shared" ca="1" si="396"/>
        <v>0</v>
      </c>
      <c r="R883" s="359">
        <f t="shared" ca="1" si="397"/>
        <v>0</v>
      </c>
      <c r="S883" s="360">
        <f t="shared" ca="1" si="398"/>
        <v>8.6519999999999992</v>
      </c>
      <c r="T883" s="357">
        <f t="shared" ca="1" si="378"/>
        <v>84.87612</v>
      </c>
      <c r="U883" s="364">
        <f t="shared" ca="1" si="379"/>
        <v>0</v>
      </c>
      <c r="V883" s="359">
        <f t="shared" ca="1" si="380"/>
        <v>1.2266155364261084</v>
      </c>
      <c r="W883" s="357">
        <f t="shared" ca="1" si="381"/>
        <v>52.469443714862273</v>
      </c>
      <c r="X883" s="343"/>
      <c r="Y883" s="367" t="str">
        <f t="shared" ca="1" si="399"/>
        <v/>
      </c>
      <c r="Z883" s="368" t="str">
        <f t="shared" ca="1" si="400"/>
        <v/>
      </c>
      <c r="AA883" s="369" t="str">
        <f t="shared" ca="1" si="401"/>
        <v/>
      </c>
      <c r="AB883" s="344"/>
      <c r="AC883" s="363" t="e">
        <f t="shared" ca="1" si="402"/>
        <v>#N/A</v>
      </c>
      <c r="AD883" s="376" t="e">
        <f t="shared" ca="1" si="403"/>
        <v>#N/A</v>
      </c>
      <c r="AE883" s="377" t="e">
        <f t="shared" ca="1" si="382"/>
        <v>#N/A</v>
      </c>
      <c r="AF883" s="344"/>
      <c r="AG883" s="359">
        <f t="shared" ca="1" si="404"/>
        <v>3.654425855671442</v>
      </c>
      <c r="AH883" s="357">
        <f t="shared" ca="1" si="405"/>
        <v>-6.0643889613146031</v>
      </c>
    </row>
    <row r="884" spans="1:34" x14ac:dyDescent="0.25">
      <c r="A884" s="402">
        <f t="shared" ca="1" si="383"/>
        <v>1E-4</v>
      </c>
      <c r="B884" s="357">
        <f t="shared" ca="1" si="384"/>
        <v>35.616400000000738</v>
      </c>
      <c r="C884" s="342"/>
      <c r="D884" s="359">
        <f t="shared" ca="1" si="385"/>
        <v>-0.8249316225021589</v>
      </c>
      <c r="E884" s="360">
        <f t="shared" ca="1" si="386"/>
        <v>-3.8019393702059698</v>
      </c>
      <c r="F884" s="357">
        <f t="shared" ca="1" si="387"/>
        <v>3.890405525973637</v>
      </c>
      <c r="G884" s="359">
        <f t="shared" ca="1" si="388"/>
        <v>18.699727480218215</v>
      </c>
      <c r="H884" s="360">
        <f t="shared" ca="1" si="389"/>
        <v>-136.19299182509417</v>
      </c>
      <c r="I884" s="357">
        <f t="shared" ca="1" si="390"/>
        <v>137.47076354667053</v>
      </c>
      <c r="J884" s="359">
        <f t="shared" ca="1" si="391"/>
        <v>1009.0500868209435</v>
      </c>
      <c r="K884" s="360">
        <f t="shared" ca="1" si="392"/>
        <v>-13.192981232362914</v>
      </c>
      <c r="L884" s="357">
        <f t="shared" ca="1" si="377"/>
        <v>1009.1363299709069</v>
      </c>
      <c r="M884" s="359">
        <f t="shared" ca="1" si="393"/>
        <v>-1.4343463617895988</v>
      </c>
      <c r="N884" s="357">
        <f t="shared" ca="1" si="394"/>
        <v>-82.181992890488658</v>
      </c>
      <c r="O884" s="343"/>
      <c r="P884" s="363">
        <f t="shared" ca="1" si="395"/>
        <v>23</v>
      </c>
      <c r="Q884" s="357">
        <f t="shared" ca="1" si="396"/>
        <v>0</v>
      </c>
      <c r="R884" s="359">
        <f t="shared" ca="1" si="397"/>
        <v>0</v>
      </c>
      <c r="S884" s="360">
        <f t="shared" ca="1" si="398"/>
        <v>8.6519999999999992</v>
      </c>
      <c r="T884" s="357">
        <f t="shared" ca="1" si="378"/>
        <v>84.87612</v>
      </c>
      <c r="U884" s="364">
        <f t="shared" ca="1" si="379"/>
        <v>0</v>
      </c>
      <c r="V884" s="359">
        <f t="shared" ca="1" si="380"/>
        <v>1.2266172069900378</v>
      </c>
      <c r="W884" s="357">
        <f t="shared" ca="1" si="381"/>
        <v>52.469794135236036</v>
      </c>
      <c r="X884" s="343"/>
      <c r="Y884" s="367" t="str">
        <f t="shared" ca="1" si="399"/>
        <v/>
      </c>
      <c r="Z884" s="368" t="str">
        <f t="shared" ca="1" si="400"/>
        <v/>
      </c>
      <c r="AA884" s="369" t="str">
        <f t="shared" ca="1" si="401"/>
        <v/>
      </c>
      <c r="AB884" s="344"/>
      <c r="AC884" s="363" t="e">
        <f t="shared" ca="1" si="402"/>
        <v>#N/A</v>
      </c>
      <c r="AD884" s="376" t="e">
        <f t="shared" ca="1" si="403"/>
        <v>#N/A</v>
      </c>
      <c r="AE884" s="377" t="e">
        <f t="shared" ca="1" si="382"/>
        <v>#N/A</v>
      </c>
      <c r="AF884" s="344"/>
      <c r="AG884" s="359">
        <f t="shared" ca="1" si="404"/>
        <v>3.6543866492289308</v>
      </c>
      <c r="AH884" s="357">
        <f t="shared" ca="1" si="405"/>
        <v>-6.0644294631139939</v>
      </c>
    </row>
    <row r="885" spans="1:34" x14ac:dyDescent="0.25">
      <c r="A885" s="402">
        <f t="shared" ca="1" si="383"/>
        <v>1E-4</v>
      </c>
      <c r="B885" s="357">
        <f t="shared" ca="1" si="384"/>
        <v>35.616500000000741</v>
      </c>
      <c r="C885" s="342"/>
      <c r="D885" s="359">
        <f t="shared" ca="1" si="385"/>
        <v>-0.82493129977245705</v>
      </c>
      <c r="E885" s="360">
        <f t="shared" ca="1" si="386"/>
        <v>-3.8018984442406731</v>
      </c>
      <c r="F885" s="357">
        <f t="shared" ca="1" si="387"/>
        <v>3.8903654622238162</v>
      </c>
      <c r="G885" s="359">
        <f t="shared" ca="1" si="388"/>
        <v>18.699644987088238</v>
      </c>
      <c r="H885" s="360">
        <f t="shared" ca="1" si="389"/>
        <v>-136.1933720149386</v>
      </c>
      <c r="I885" s="357">
        <f t="shared" ca="1" si="390"/>
        <v>137.47112898147958</v>
      </c>
      <c r="J885" s="359">
        <f t="shared" ca="1" si="391"/>
        <v>1009.0500868209435</v>
      </c>
      <c r="K885" s="360">
        <f t="shared" ca="1" si="392"/>
        <v>-13.206600550554915</v>
      </c>
      <c r="L885" s="357">
        <f t="shared" ca="1" si="377"/>
        <v>1009.1365081154559</v>
      </c>
      <c r="M885" s="359">
        <f t="shared" ca="1" si="393"/>
        <v>-1.4343473324838121</v>
      </c>
      <c r="N885" s="357">
        <f t="shared" ca="1" si="394"/>
        <v>-82.182048507170279</v>
      </c>
      <c r="O885" s="343"/>
      <c r="P885" s="363">
        <f t="shared" ca="1" si="395"/>
        <v>23</v>
      </c>
      <c r="Q885" s="357">
        <f t="shared" ca="1" si="396"/>
        <v>0</v>
      </c>
      <c r="R885" s="359">
        <f t="shared" ca="1" si="397"/>
        <v>0</v>
      </c>
      <c r="S885" s="360">
        <f t="shared" ca="1" si="398"/>
        <v>8.6519999999999992</v>
      </c>
      <c r="T885" s="357">
        <f t="shared" ca="1" si="378"/>
        <v>84.87612</v>
      </c>
      <c r="U885" s="364">
        <f t="shared" ca="1" si="379"/>
        <v>0</v>
      </c>
      <c r="V885" s="359">
        <f t="shared" ca="1" si="380"/>
        <v>1.2266188775609073</v>
      </c>
      <c r="W885" s="357">
        <f t="shared" ca="1" si="381"/>
        <v>52.470144554415207</v>
      </c>
      <c r="X885" s="343"/>
      <c r="Y885" s="367" t="str">
        <f t="shared" ca="1" si="399"/>
        <v/>
      </c>
      <c r="Z885" s="368" t="str">
        <f t="shared" ca="1" si="400"/>
        <v/>
      </c>
      <c r="AA885" s="369" t="str">
        <f t="shared" ca="1" si="401"/>
        <v/>
      </c>
      <c r="AB885" s="344"/>
      <c r="AC885" s="363" t="e">
        <f t="shared" ca="1" si="402"/>
        <v>#N/A</v>
      </c>
      <c r="AD885" s="376" t="e">
        <f t="shared" ca="1" si="403"/>
        <v>#N/A</v>
      </c>
      <c r="AE885" s="377" t="e">
        <f t="shared" ca="1" si="382"/>
        <v>#N/A</v>
      </c>
      <c r="AF885" s="344"/>
      <c r="AG885" s="359">
        <f t="shared" ca="1" si="404"/>
        <v>3.6543474429027292</v>
      </c>
      <c r="AH885" s="357">
        <f t="shared" ca="1" si="405"/>
        <v>-6.0644699647753164</v>
      </c>
    </row>
    <row r="886" spans="1:34" x14ac:dyDescent="0.25">
      <c r="A886" s="402">
        <f t="shared" ca="1" si="383"/>
        <v>1E-4</v>
      </c>
      <c r="B886" s="357">
        <f t="shared" ca="1" si="384"/>
        <v>35.616600000000744</v>
      </c>
      <c r="C886" s="342"/>
      <c r="D886" s="359">
        <f t="shared" ca="1" si="385"/>
        <v>-0.82493097700203155</v>
      </c>
      <c r="E886" s="360">
        <f t="shared" ca="1" si="386"/>
        <v>-3.8018575184149181</v>
      </c>
      <c r="F886" s="357">
        <f t="shared" ca="1" si="387"/>
        <v>3.8903253986197051</v>
      </c>
      <c r="G886" s="359">
        <f t="shared" ca="1" si="388"/>
        <v>18.699562493990538</v>
      </c>
      <c r="H886" s="360">
        <f t="shared" ca="1" si="389"/>
        <v>-136.19375220069045</v>
      </c>
      <c r="I886" s="357">
        <f t="shared" ca="1" si="390"/>
        <v>137.47149441236803</v>
      </c>
      <c r="J886" s="359">
        <f t="shared" ca="1" si="391"/>
        <v>1009.0500868209435</v>
      </c>
      <c r="K886" s="360">
        <f t="shared" ca="1" si="392"/>
        <v>-13.220219906765697</v>
      </c>
      <c r="L886" s="357">
        <f t="shared" ca="1" si="377"/>
        <v>1009.1366864442779</v>
      </c>
      <c r="M886" s="359">
        <f t="shared" ca="1" si="393"/>
        <v>-1.4343483031685826</v>
      </c>
      <c r="N886" s="357">
        <f t="shared" ca="1" si="394"/>
        <v>-82.182104123310864</v>
      </c>
      <c r="O886" s="343"/>
      <c r="P886" s="363">
        <f t="shared" ca="1" si="395"/>
        <v>23</v>
      </c>
      <c r="Q886" s="357">
        <f t="shared" ca="1" si="396"/>
        <v>0</v>
      </c>
      <c r="R886" s="359">
        <f t="shared" ca="1" si="397"/>
        <v>0</v>
      </c>
      <c r="S886" s="360">
        <f t="shared" ca="1" si="398"/>
        <v>8.6519999999999992</v>
      </c>
      <c r="T886" s="357">
        <f t="shared" ca="1" si="378"/>
        <v>84.87612</v>
      </c>
      <c r="U886" s="364">
        <f t="shared" ca="1" si="379"/>
        <v>0</v>
      </c>
      <c r="V886" s="359">
        <f t="shared" ca="1" si="380"/>
        <v>1.2266205481387169</v>
      </c>
      <c r="W886" s="357">
        <f t="shared" ca="1" si="381"/>
        <v>52.47049497239982</v>
      </c>
      <c r="X886" s="343"/>
      <c r="Y886" s="367" t="str">
        <f t="shared" ca="1" si="399"/>
        <v/>
      </c>
      <c r="Z886" s="368" t="str">
        <f t="shared" ca="1" si="400"/>
        <v/>
      </c>
      <c r="AA886" s="369" t="str">
        <f t="shared" ca="1" si="401"/>
        <v/>
      </c>
      <c r="AB886" s="344"/>
      <c r="AC886" s="363" t="e">
        <f t="shared" ca="1" si="402"/>
        <v>#N/A</v>
      </c>
      <c r="AD886" s="376" t="e">
        <f t="shared" ca="1" si="403"/>
        <v>#N/A</v>
      </c>
      <c r="AE886" s="377" t="e">
        <f t="shared" ca="1" si="382"/>
        <v>#N/A</v>
      </c>
      <c r="AF886" s="344"/>
      <c r="AG886" s="359">
        <f t="shared" ca="1" si="404"/>
        <v>3.6543082366928399</v>
      </c>
      <c r="AH886" s="357">
        <f t="shared" ca="1" si="405"/>
        <v>-6.064510466298568</v>
      </c>
    </row>
    <row r="887" spans="1:34" x14ac:dyDescent="0.25">
      <c r="A887" s="402">
        <f t="shared" ca="1" si="383"/>
        <v>1E-4</v>
      </c>
      <c r="B887" s="357">
        <f t="shared" ca="1" si="384"/>
        <v>35.616700000000748</v>
      </c>
      <c r="C887" s="342"/>
      <c r="D887" s="359">
        <f t="shared" ca="1" si="385"/>
        <v>-0.82493065419088307</v>
      </c>
      <c r="E887" s="360">
        <f t="shared" ca="1" si="386"/>
        <v>-3.8018165927287031</v>
      </c>
      <c r="F887" s="357">
        <f t="shared" ca="1" si="387"/>
        <v>3.8902853351613023</v>
      </c>
      <c r="G887" s="359">
        <f t="shared" ca="1" si="388"/>
        <v>18.699480000925117</v>
      </c>
      <c r="H887" s="360">
        <f t="shared" ca="1" si="389"/>
        <v>-136.19413238234972</v>
      </c>
      <c r="I887" s="357">
        <f t="shared" ca="1" si="390"/>
        <v>137.47185983933585</v>
      </c>
      <c r="J887" s="359">
        <f t="shared" ca="1" si="391"/>
        <v>1009.0500868209435</v>
      </c>
      <c r="K887" s="360">
        <f t="shared" ca="1" si="392"/>
        <v>-13.23383930099485</v>
      </c>
      <c r="L887" s="357">
        <f t="shared" ca="1" si="377"/>
        <v>1009.1368649573744</v>
      </c>
      <c r="M887" s="359">
        <f t="shared" ca="1" si="393"/>
        <v>-1.4343492738439103</v>
      </c>
      <c r="N887" s="357">
        <f t="shared" ca="1" si="394"/>
        <v>-82.182159738910428</v>
      </c>
      <c r="O887" s="343"/>
      <c r="P887" s="363">
        <f t="shared" ca="1" si="395"/>
        <v>23</v>
      </c>
      <c r="Q887" s="357">
        <f t="shared" ca="1" si="396"/>
        <v>0</v>
      </c>
      <c r="R887" s="359">
        <f t="shared" ca="1" si="397"/>
        <v>0</v>
      </c>
      <c r="S887" s="360">
        <f t="shared" ca="1" si="398"/>
        <v>8.6519999999999992</v>
      </c>
      <c r="T887" s="357">
        <f t="shared" ca="1" si="378"/>
        <v>84.87612</v>
      </c>
      <c r="U887" s="364">
        <f t="shared" ca="1" si="379"/>
        <v>0</v>
      </c>
      <c r="V887" s="359">
        <f t="shared" ca="1" si="380"/>
        <v>1.226622218723467</v>
      </c>
      <c r="W887" s="357">
        <f t="shared" ca="1" si="381"/>
        <v>52.470845389189797</v>
      </c>
      <c r="X887" s="343"/>
      <c r="Y887" s="367" t="str">
        <f t="shared" ca="1" si="399"/>
        <v/>
      </c>
      <c r="Z887" s="368" t="str">
        <f t="shared" ca="1" si="400"/>
        <v/>
      </c>
      <c r="AA887" s="369" t="str">
        <f t="shared" ca="1" si="401"/>
        <v/>
      </c>
      <c r="AB887" s="344"/>
      <c r="AC887" s="363" t="e">
        <f t="shared" ca="1" si="402"/>
        <v>#N/A</v>
      </c>
      <c r="AD887" s="376" t="e">
        <f t="shared" ca="1" si="403"/>
        <v>#N/A</v>
      </c>
      <c r="AE887" s="377" t="e">
        <f t="shared" ca="1" si="382"/>
        <v>#N/A</v>
      </c>
      <c r="AF887" s="344"/>
      <c r="AG887" s="359">
        <f t="shared" ca="1" si="404"/>
        <v>3.6542690305992576</v>
      </c>
      <c r="AH887" s="357">
        <f t="shared" ca="1" si="405"/>
        <v>-6.0645509676837523</v>
      </c>
    </row>
    <row r="888" spans="1:34" x14ac:dyDescent="0.25">
      <c r="A888" s="402">
        <f t="shared" ca="1" si="383"/>
        <v>1E-4</v>
      </c>
      <c r="B888" s="357">
        <f t="shared" ca="1" si="384"/>
        <v>35.616800000000751</v>
      </c>
      <c r="C888" s="342"/>
      <c r="D888" s="359">
        <f t="shared" ca="1" si="385"/>
        <v>-0.82493033133901317</v>
      </c>
      <c r="E888" s="360">
        <f t="shared" ca="1" si="386"/>
        <v>-3.801775667182036</v>
      </c>
      <c r="F888" s="357">
        <f t="shared" ca="1" si="387"/>
        <v>3.8902452718486153</v>
      </c>
      <c r="G888" s="359">
        <f t="shared" ca="1" si="388"/>
        <v>18.699397507891984</v>
      </c>
      <c r="H888" s="360">
        <f t="shared" ca="1" si="389"/>
        <v>-136.19451255991643</v>
      </c>
      <c r="I888" s="357">
        <f t="shared" ca="1" si="390"/>
        <v>137.47222526238306</v>
      </c>
      <c r="J888" s="359">
        <f t="shared" ca="1" si="391"/>
        <v>1009.0500868209435</v>
      </c>
      <c r="K888" s="360">
        <f t="shared" ca="1" si="392"/>
        <v>-13.247458733241963</v>
      </c>
      <c r="L888" s="357">
        <f t="shared" ca="1" si="377"/>
        <v>1009.1370436547469</v>
      </c>
      <c r="M888" s="359">
        <f t="shared" ca="1" si="393"/>
        <v>-1.4343502445097955</v>
      </c>
      <c r="N888" s="357">
        <f t="shared" ca="1" si="394"/>
        <v>-82.182215353968957</v>
      </c>
      <c r="O888" s="343"/>
      <c r="P888" s="363">
        <f t="shared" ca="1" si="395"/>
        <v>23</v>
      </c>
      <c r="Q888" s="357">
        <f t="shared" ca="1" si="396"/>
        <v>0</v>
      </c>
      <c r="R888" s="359">
        <f t="shared" ca="1" si="397"/>
        <v>0</v>
      </c>
      <c r="S888" s="360">
        <f t="shared" ca="1" si="398"/>
        <v>8.6519999999999992</v>
      </c>
      <c r="T888" s="357">
        <f t="shared" ca="1" si="378"/>
        <v>84.87612</v>
      </c>
      <c r="U888" s="364">
        <f t="shared" ca="1" si="379"/>
        <v>0</v>
      </c>
      <c r="V888" s="359">
        <f t="shared" ca="1" si="380"/>
        <v>1.2266238893151569</v>
      </c>
      <c r="W888" s="357">
        <f t="shared" ca="1" si="381"/>
        <v>52.471195804785111</v>
      </c>
      <c r="X888" s="343"/>
      <c r="Y888" s="367" t="str">
        <f t="shared" ca="1" si="399"/>
        <v/>
      </c>
      <c r="Z888" s="368" t="str">
        <f t="shared" ca="1" si="400"/>
        <v/>
      </c>
      <c r="AA888" s="369" t="str">
        <f t="shared" ca="1" si="401"/>
        <v/>
      </c>
      <c r="AB888" s="344"/>
      <c r="AC888" s="363" t="e">
        <f t="shared" ca="1" si="402"/>
        <v>#N/A</v>
      </c>
      <c r="AD888" s="376" t="e">
        <f t="shared" ca="1" si="403"/>
        <v>#N/A</v>
      </c>
      <c r="AE888" s="377" t="e">
        <f t="shared" ca="1" si="382"/>
        <v>#N/A</v>
      </c>
      <c r="AF888" s="344"/>
      <c r="AG888" s="359">
        <f t="shared" ca="1" si="404"/>
        <v>3.6542298246219946</v>
      </c>
      <c r="AH888" s="357">
        <f t="shared" ca="1" si="405"/>
        <v>-6.0645914689308604</v>
      </c>
    </row>
    <row r="889" spans="1:34" x14ac:dyDescent="0.25">
      <c r="A889" s="402">
        <f t="shared" ca="1" si="383"/>
        <v>1E-4</v>
      </c>
      <c r="B889" s="357">
        <f t="shared" ca="1" si="384"/>
        <v>35.616900000000754</v>
      </c>
      <c r="C889" s="342"/>
      <c r="D889" s="359">
        <f t="shared" ca="1" si="385"/>
        <v>-0.82493000844642062</v>
      </c>
      <c r="E889" s="360">
        <f t="shared" ca="1" si="386"/>
        <v>-3.8017347417749203</v>
      </c>
      <c r="F889" s="357">
        <f t="shared" ca="1" si="387"/>
        <v>3.8902052086816488</v>
      </c>
      <c r="G889" s="359">
        <f t="shared" ca="1" si="388"/>
        <v>18.699315014891138</v>
      </c>
      <c r="H889" s="360">
        <f t="shared" ca="1" si="389"/>
        <v>-136.19489273339062</v>
      </c>
      <c r="I889" s="357">
        <f t="shared" ca="1" si="390"/>
        <v>137.4725906815097</v>
      </c>
      <c r="J889" s="359">
        <f t="shared" ca="1" si="391"/>
        <v>1009.0500868209435</v>
      </c>
      <c r="K889" s="360">
        <f t="shared" ca="1" si="392"/>
        <v>-13.261078203506628</v>
      </c>
      <c r="L889" s="357">
        <f t="shared" ca="1" si="377"/>
        <v>1009.1372225363968</v>
      </c>
      <c r="M889" s="359">
        <f t="shared" ca="1" si="393"/>
        <v>-1.4343512151662383</v>
      </c>
      <c r="N889" s="357">
        <f t="shared" ca="1" si="394"/>
        <v>-82.182270968486492</v>
      </c>
      <c r="O889" s="343"/>
      <c r="P889" s="363">
        <f t="shared" ca="1" si="395"/>
        <v>23</v>
      </c>
      <c r="Q889" s="357">
        <f t="shared" ca="1" si="396"/>
        <v>0</v>
      </c>
      <c r="R889" s="359">
        <f t="shared" ca="1" si="397"/>
        <v>0</v>
      </c>
      <c r="S889" s="360">
        <f t="shared" ca="1" si="398"/>
        <v>8.6519999999999992</v>
      </c>
      <c r="T889" s="357">
        <f t="shared" ca="1" si="378"/>
        <v>84.87612</v>
      </c>
      <c r="U889" s="364">
        <f t="shared" ca="1" si="379"/>
        <v>0</v>
      </c>
      <c r="V889" s="359">
        <f t="shared" ca="1" si="380"/>
        <v>1.226625559913787</v>
      </c>
      <c r="W889" s="357">
        <f t="shared" ca="1" si="381"/>
        <v>52.47154621918579</v>
      </c>
      <c r="X889" s="343"/>
      <c r="Y889" s="367" t="str">
        <f t="shared" ca="1" si="399"/>
        <v/>
      </c>
      <c r="Z889" s="368" t="str">
        <f t="shared" ca="1" si="400"/>
        <v/>
      </c>
      <c r="AA889" s="369" t="str">
        <f t="shared" ca="1" si="401"/>
        <v/>
      </c>
      <c r="AB889" s="344"/>
      <c r="AC889" s="363" t="e">
        <f t="shared" ca="1" si="402"/>
        <v>#N/A</v>
      </c>
      <c r="AD889" s="376" t="e">
        <f t="shared" ca="1" si="403"/>
        <v>#N/A</v>
      </c>
      <c r="AE889" s="377" t="e">
        <f t="shared" ca="1" si="382"/>
        <v>#N/A</v>
      </c>
      <c r="AF889" s="344"/>
      <c r="AG889" s="359">
        <f t="shared" ca="1" si="404"/>
        <v>3.6541906187610547</v>
      </c>
      <c r="AH889" s="357">
        <f t="shared" ca="1" si="405"/>
        <v>-6.0646319700398887</v>
      </c>
    </row>
    <row r="890" spans="1:34" x14ac:dyDescent="0.25">
      <c r="A890" s="402">
        <f t="shared" ca="1" si="383"/>
        <v>1E-4</v>
      </c>
      <c r="B890" s="357">
        <f t="shared" ca="1" si="384"/>
        <v>35.617000000000758</v>
      </c>
      <c r="C890" s="342"/>
      <c r="D890" s="359">
        <f t="shared" ca="1" si="385"/>
        <v>-0.82492968551310697</v>
      </c>
      <c r="E890" s="360">
        <f t="shared" ca="1" si="386"/>
        <v>-3.8016938165073526</v>
      </c>
      <c r="F890" s="357">
        <f t="shared" ca="1" si="387"/>
        <v>3.8901651456603989</v>
      </c>
      <c r="G890" s="359">
        <f t="shared" ca="1" si="388"/>
        <v>18.699232521922585</v>
      </c>
      <c r="H890" s="360">
        <f t="shared" ca="1" si="389"/>
        <v>-136.19527290277227</v>
      </c>
      <c r="I890" s="357">
        <f t="shared" ca="1" si="390"/>
        <v>137.47295609671576</v>
      </c>
      <c r="J890" s="359">
        <f t="shared" ca="1" si="391"/>
        <v>1009.0500868209435</v>
      </c>
      <c r="K890" s="360">
        <f t="shared" ca="1" si="392"/>
        <v>-13.274697711788436</v>
      </c>
      <c r="L890" s="357">
        <f t="shared" ca="1" si="377"/>
        <v>1009.1374016023254</v>
      </c>
      <c r="M890" s="359">
        <f t="shared" ca="1" si="393"/>
        <v>-1.4343521858132386</v>
      </c>
      <c r="N890" s="357">
        <f t="shared" ca="1" si="394"/>
        <v>-82.182326582463006</v>
      </c>
      <c r="O890" s="343"/>
      <c r="P890" s="363">
        <f t="shared" ca="1" si="395"/>
        <v>23</v>
      </c>
      <c r="Q890" s="357">
        <f t="shared" ca="1" si="396"/>
        <v>0</v>
      </c>
      <c r="R890" s="359">
        <f t="shared" ca="1" si="397"/>
        <v>0</v>
      </c>
      <c r="S890" s="360">
        <f t="shared" ca="1" si="398"/>
        <v>8.6519999999999992</v>
      </c>
      <c r="T890" s="357">
        <f t="shared" ca="1" si="378"/>
        <v>84.87612</v>
      </c>
      <c r="U890" s="364">
        <f t="shared" ca="1" si="379"/>
        <v>0</v>
      </c>
      <c r="V890" s="359">
        <f t="shared" ca="1" si="380"/>
        <v>1.2266272305193568</v>
      </c>
      <c r="W890" s="357">
        <f t="shared" ca="1" si="381"/>
        <v>52.471896632391775</v>
      </c>
      <c r="X890" s="343"/>
      <c r="Y890" s="367" t="str">
        <f t="shared" ca="1" si="399"/>
        <v/>
      </c>
      <c r="Z890" s="368" t="str">
        <f t="shared" ca="1" si="400"/>
        <v/>
      </c>
      <c r="AA890" s="369" t="str">
        <f t="shared" ca="1" si="401"/>
        <v/>
      </c>
      <c r="AB890" s="344"/>
      <c r="AC890" s="363" t="e">
        <f t="shared" ca="1" si="402"/>
        <v>#N/A</v>
      </c>
      <c r="AD890" s="376" t="e">
        <f t="shared" ca="1" si="403"/>
        <v>#N/A</v>
      </c>
      <c r="AE890" s="377" t="e">
        <f t="shared" ca="1" si="382"/>
        <v>#N/A</v>
      </c>
      <c r="AF890" s="344"/>
      <c r="AG890" s="359">
        <f t="shared" ca="1" si="404"/>
        <v>3.6541514130164359</v>
      </c>
      <c r="AH890" s="357">
        <f t="shared" ca="1" si="405"/>
        <v>-6.0646724710108408</v>
      </c>
    </row>
    <row r="891" spans="1:34" x14ac:dyDescent="0.25">
      <c r="A891" s="402">
        <f t="shared" ca="1" si="383"/>
        <v>1E-4</v>
      </c>
      <c r="B891" s="357">
        <f t="shared" ca="1" si="384"/>
        <v>35.617100000000761</v>
      </c>
      <c r="C891" s="342"/>
      <c r="D891" s="359">
        <f t="shared" ca="1" si="385"/>
        <v>-0.82492936253907334</v>
      </c>
      <c r="E891" s="360">
        <f t="shared" ca="1" si="386"/>
        <v>-3.8016528913793399</v>
      </c>
      <c r="F891" s="357">
        <f t="shared" ca="1" si="387"/>
        <v>3.8901250827848735</v>
      </c>
      <c r="G891" s="359">
        <f t="shared" ca="1" si="388"/>
        <v>18.699150028986331</v>
      </c>
      <c r="H891" s="360">
        <f t="shared" ca="1" si="389"/>
        <v>-136.1956530680614</v>
      </c>
      <c r="I891" s="357">
        <f t="shared" ca="1" si="390"/>
        <v>137.47332150800128</v>
      </c>
      <c r="J891" s="359">
        <f t="shared" ca="1" si="391"/>
        <v>1009.0500868209435</v>
      </c>
      <c r="K891" s="360">
        <f t="shared" ca="1" si="392"/>
        <v>-13.288317258086977</v>
      </c>
      <c r="L891" s="357">
        <f t="shared" ca="1" si="377"/>
        <v>1009.1375808525343</v>
      </c>
      <c r="M891" s="359">
        <f t="shared" ca="1" si="393"/>
        <v>-1.434353156450797</v>
      </c>
      <c r="N891" s="357">
        <f t="shared" ca="1" si="394"/>
        <v>-82.182382195898541</v>
      </c>
      <c r="O891" s="343"/>
      <c r="P891" s="363">
        <f t="shared" ca="1" si="395"/>
        <v>23</v>
      </c>
      <c r="Q891" s="357">
        <f t="shared" ca="1" si="396"/>
        <v>0</v>
      </c>
      <c r="R891" s="359">
        <f t="shared" ca="1" si="397"/>
        <v>0</v>
      </c>
      <c r="S891" s="360">
        <f t="shared" ca="1" si="398"/>
        <v>8.6519999999999992</v>
      </c>
      <c r="T891" s="357">
        <f t="shared" ca="1" si="378"/>
        <v>84.87612</v>
      </c>
      <c r="U891" s="364">
        <f t="shared" ca="1" si="379"/>
        <v>0</v>
      </c>
      <c r="V891" s="359">
        <f t="shared" ca="1" si="380"/>
        <v>1.226628901131867</v>
      </c>
      <c r="W891" s="357">
        <f t="shared" ca="1" si="381"/>
        <v>52.47224704440309</v>
      </c>
      <c r="X891" s="343"/>
      <c r="Y891" s="367" t="str">
        <f t="shared" ca="1" si="399"/>
        <v/>
      </c>
      <c r="Z891" s="368" t="str">
        <f t="shared" ca="1" si="400"/>
        <v/>
      </c>
      <c r="AA891" s="369" t="str">
        <f t="shared" ca="1" si="401"/>
        <v/>
      </c>
      <c r="AB891" s="344"/>
      <c r="AC891" s="363" t="e">
        <f t="shared" ca="1" si="402"/>
        <v>#N/A</v>
      </c>
      <c r="AD891" s="376" t="e">
        <f t="shared" ca="1" si="403"/>
        <v>#N/A</v>
      </c>
      <c r="AE891" s="377" t="e">
        <f t="shared" ca="1" si="382"/>
        <v>#N/A</v>
      </c>
      <c r="AF891" s="344"/>
      <c r="AG891" s="359">
        <f t="shared" ca="1" si="404"/>
        <v>3.6541122073881409</v>
      </c>
      <c r="AH891" s="357">
        <f t="shared" ca="1" si="405"/>
        <v>-6.0647129718437105</v>
      </c>
    </row>
    <row r="892" spans="1:34" x14ac:dyDescent="0.25">
      <c r="A892" s="402">
        <f t="shared" ca="1" si="383"/>
        <v>1E-4</v>
      </c>
      <c r="B892" s="357">
        <f t="shared" ca="1" si="384"/>
        <v>35.617200000000764</v>
      </c>
      <c r="C892" s="342"/>
      <c r="D892" s="359">
        <f t="shared" ca="1" si="385"/>
        <v>-0.82492903952431862</v>
      </c>
      <c r="E892" s="360">
        <f t="shared" ca="1" si="386"/>
        <v>-3.8016119663908796</v>
      </c>
      <c r="F892" s="357">
        <f t="shared" ca="1" si="387"/>
        <v>3.8900850200550687</v>
      </c>
      <c r="G892" s="359">
        <f t="shared" ca="1" si="388"/>
        <v>18.699067536082378</v>
      </c>
      <c r="H892" s="360">
        <f t="shared" ca="1" si="389"/>
        <v>-136.19603322925803</v>
      </c>
      <c r="I892" s="357">
        <f t="shared" ca="1" si="390"/>
        <v>137.47368691536622</v>
      </c>
      <c r="J892" s="359">
        <f t="shared" ca="1" si="391"/>
        <v>1009.0500868209435</v>
      </c>
      <c r="K892" s="360">
        <f t="shared" ca="1" si="392"/>
        <v>-13.301936842401842</v>
      </c>
      <c r="L892" s="357">
        <f t="shared" ca="1" si="377"/>
        <v>1009.1377602870249</v>
      </c>
      <c r="M892" s="359">
        <f t="shared" ca="1" si="393"/>
        <v>-1.4343541270789135</v>
      </c>
      <c r="N892" s="357">
        <f t="shared" ca="1" si="394"/>
        <v>-82.182437808793097</v>
      </c>
      <c r="O892" s="343"/>
      <c r="P892" s="363">
        <f t="shared" ca="1" si="395"/>
        <v>23</v>
      </c>
      <c r="Q892" s="357">
        <f t="shared" ca="1" si="396"/>
        <v>0</v>
      </c>
      <c r="R892" s="359">
        <f t="shared" ca="1" si="397"/>
        <v>0</v>
      </c>
      <c r="S892" s="360">
        <f t="shared" ca="1" si="398"/>
        <v>8.6519999999999992</v>
      </c>
      <c r="T892" s="357">
        <f t="shared" ca="1" si="378"/>
        <v>84.87612</v>
      </c>
      <c r="U892" s="364">
        <f t="shared" ca="1" si="379"/>
        <v>0</v>
      </c>
      <c r="V892" s="359">
        <f t="shared" ca="1" si="380"/>
        <v>1.2266305717513171</v>
      </c>
      <c r="W892" s="357">
        <f t="shared" ca="1" si="381"/>
        <v>52.472597455219663</v>
      </c>
      <c r="X892" s="343"/>
      <c r="Y892" s="367" t="str">
        <f t="shared" ca="1" si="399"/>
        <v/>
      </c>
      <c r="Z892" s="368" t="str">
        <f t="shared" ca="1" si="400"/>
        <v/>
      </c>
      <c r="AA892" s="369" t="str">
        <f t="shared" ca="1" si="401"/>
        <v/>
      </c>
      <c r="AB892" s="344"/>
      <c r="AC892" s="363" t="e">
        <f t="shared" ca="1" si="402"/>
        <v>#N/A</v>
      </c>
      <c r="AD892" s="376" t="e">
        <f t="shared" ca="1" si="403"/>
        <v>#N/A</v>
      </c>
      <c r="AE892" s="377" t="e">
        <f t="shared" ca="1" si="382"/>
        <v>#N/A</v>
      </c>
      <c r="AF892" s="344"/>
      <c r="AG892" s="359">
        <f t="shared" ca="1" si="404"/>
        <v>3.6540730018761716</v>
      </c>
      <c r="AH892" s="357">
        <f t="shared" ca="1" si="405"/>
        <v>-6.0647534725384995</v>
      </c>
    </row>
    <row r="893" spans="1:34" x14ac:dyDescent="0.25">
      <c r="A893" s="402">
        <f t="shared" ca="1" si="383"/>
        <v>1E-4</v>
      </c>
      <c r="B893" s="357">
        <f t="shared" ca="1" si="384"/>
        <v>35.617300000000768</v>
      </c>
      <c r="C893" s="342"/>
      <c r="D893" s="359">
        <f t="shared" ca="1" si="385"/>
        <v>-0.82492871646884181</v>
      </c>
      <c r="E893" s="360">
        <f t="shared" ca="1" si="386"/>
        <v>-3.8015710415419806</v>
      </c>
      <c r="F893" s="357">
        <f t="shared" ca="1" si="387"/>
        <v>3.8900449574709941</v>
      </c>
      <c r="G893" s="359">
        <f t="shared" ca="1" si="388"/>
        <v>18.69898504321073</v>
      </c>
      <c r="H893" s="360">
        <f t="shared" ca="1" si="389"/>
        <v>-136.1964133863622</v>
      </c>
      <c r="I893" s="357">
        <f t="shared" ca="1" si="390"/>
        <v>137.47405231881061</v>
      </c>
      <c r="J893" s="359">
        <f t="shared" ca="1" si="391"/>
        <v>1009.0500868209435</v>
      </c>
      <c r="K893" s="360">
        <f t="shared" ca="1" si="392"/>
        <v>-13.315556464732623</v>
      </c>
      <c r="L893" s="357">
        <f t="shared" ca="1" si="377"/>
        <v>1009.1379399057986</v>
      </c>
      <c r="M893" s="359">
        <f t="shared" ca="1" si="393"/>
        <v>-1.4343550976975881</v>
      </c>
      <c r="N893" s="357">
        <f t="shared" ca="1" si="394"/>
        <v>-82.18249342114666</v>
      </c>
      <c r="O893" s="343"/>
      <c r="P893" s="363">
        <f t="shared" ca="1" si="395"/>
        <v>23</v>
      </c>
      <c r="Q893" s="357">
        <f t="shared" ca="1" si="396"/>
        <v>0</v>
      </c>
      <c r="R893" s="359">
        <f t="shared" ca="1" si="397"/>
        <v>0</v>
      </c>
      <c r="S893" s="360">
        <f t="shared" ca="1" si="398"/>
        <v>8.6519999999999992</v>
      </c>
      <c r="T893" s="357">
        <f t="shared" ca="1" si="378"/>
        <v>84.87612</v>
      </c>
      <c r="U893" s="364">
        <f t="shared" ca="1" si="379"/>
        <v>0</v>
      </c>
      <c r="V893" s="359">
        <f t="shared" ca="1" si="380"/>
        <v>1.226632242377707</v>
      </c>
      <c r="W893" s="357">
        <f t="shared" ca="1" si="381"/>
        <v>52.472947864841466</v>
      </c>
      <c r="X893" s="343"/>
      <c r="Y893" s="367" t="str">
        <f t="shared" ca="1" si="399"/>
        <v/>
      </c>
      <c r="Z893" s="368" t="str">
        <f t="shared" ca="1" si="400"/>
        <v/>
      </c>
      <c r="AA893" s="369" t="str">
        <f t="shared" ca="1" si="401"/>
        <v/>
      </c>
      <c r="AB893" s="344"/>
      <c r="AC893" s="363" t="e">
        <f t="shared" ca="1" si="402"/>
        <v>#N/A</v>
      </c>
      <c r="AD893" s="376" t="e">
        <f t="shared" ca="1" si="403"/>
        <v>#N/A</v>
      </c>
      <c r="AE893" s="377" t="e">
        <f t="shared" ca="1" si="382"/>
        <v>#N/A</v>
      </c>
      <c r="AF893" s="344"/>
      <c r="AG893" s="359">
        <f t="shared" ca="1" si="404"/>
        <v>3.6540337964805358</v>
      </c>
      <c r="AH893" s="357">
        <f t="shared" ca="1" si="405"/>
        <v>-6.0647939730951999</v>
      </c>
    </row>
    <row r="894" spans="1:34" x14ac:dyDescent="0.25">
      <c r="A894" s="402">
        <f t="shared" ca="1" si="383"/>
        <v>1E-4</v>
      </c>
      <c r="B894" s="357">
        <f t="shared" ca="1" si="384"/>
        <v>35.617400000000771</v>
      </c>
      <c r="C894" s="342"/>
      <c r="D894" s="359">
        <f t="shared" ca="1" si="385"/>
        <v>-0.82492839337264567</v>
      </c>
      <c r="E894" s="360">
        <f t="shared" ca="1" si="386"/>
        <v>-3.8015301168326445</v>
      </c>
      <c r="F894" s="357">
        <f t="shared" ca="1" si="387"/>
        <v>3.8900048950326522</v>
      </c>
      <c r="G894" s="359">
        <f t="shared" ca="1" si="388"/>
        <v>18.698902550371393</v>
      </c>
      <c r="H894" s="360">
        <f t="shared" ca="1" si="389"/>
        <v>-136.19679353937389</v>
      </c>
      <c r="I894" s="357">
        <f t="shared" ca="1" si="390"/>
        <v>137.47441771833451</v>
      </c>
      <c r="J894" s="359">
        <f t="shared" ca="1" si="391"/>
        <v>1009.0500868209435</v>
      </c>
      <c r="K894" s="360">
        <f t="shared" ca="1" si="392"/>
        <v>-13.329176125078909</v>
      </c>
      <c r="L894" s="357">
        <f t="shared" ca="1" si="377"/>
        <v>1009.1381197088568</v>
      </c>
      <c r="M894" s="359">
        <f t="shared" ca="1" si="393"/>
        <v>-1.4343560683068208</v>
      </c>
      <c r="N894" s="357">
        <f t="shared" ca="1" si="394"/>
        <v>-82.182549032959258</v>
      </c>
      <c r="O894" s="343"/>
      <c r="P894" s="363">
        <f t="shared" ca="1" si="395"/>
        <v>23</v>
      </c>
      <c r="Q894" s="357">
        <f t="shared" ca="1" si="396"/>
        <v>0</v>
      </c>
      <c r="R894" s="359">
        <f t="shared" ca="1" si="397"/>
        <v>0</v>
      </c>
      <c r="S894" s="360">
        <f t="shared" ca="1" si="398"/>
        <v>8.6519999999999992</v>
      </c>
      <c r="T894" s="357">
        <f t="shared" ca="1" si="378"/>
        <v>84.87612</v>
      </c>
      <c r="U894" s="364">
        <f t="shared" ca="1" si="379"/>
        <v>0</v>
      </c>
      <c r="V894" s="359">
        <f t="shared" ca="1" si="380"/>
        <v>1.2266339130110373</v>
      </c>
      <c r="W894" s="357">
        <f t="shared" ca="1" si="381"/>
        <v>52.473298273268576</v>
      </c>
      <c r="X894" s="343"/>
      <c r="Y894" s="367" t="str">
        <f t="shared" ca="1" si="399"/>
        <v/>
      </c>
      <c r="Z894" s="368" t="str">
        <f t="shared" ca="1" si="400"/>
        <v/>
      </c>
      <c r="AA894" s="369" t="str">
        <f t="shared" ca="1" si="401"/>
        <v/>
      </c>
      <c r="AB894" s="344"/>
      <c r="AC894" s="363" t="e">
        <f t="shared" ca="1" si="402"/>
        <v>#N/A</v>
      </c>
      <c r="AD894" s="376" t="e">
        <f t="shared" ca="1" si="403"/>
        <v>#N/A</v>
      </c>
      <c r="AE894" s="377" t="e">
        <f t="shared" ca="1" si="382"/>
        <v>#N/A</v>
      </c>
      <c r="AF894" s="344"/>
      <c r="AG894" s="359">
        <f t="shared" ca="1" si="404"/>
        <v>3.6539945912012373</v>
      </c>
      <c r="AH894" s="357">
        <f t="shared" ca="1" si="405"/>
        <v>-6.064834473513808</v>
      </c>
    </row>
    <row r="895" spans="1:34" x14ac:dyDescent="0.25">
      <c r="A895" s="402">
        <f t="shared" ca="1" si="383"/>
        <v>1E-4</v>
      </c>
      <c r="B895" s="357">
        <f t="shared" ca="1" si="384"/>
        <v>35.617500000000774</v>
      </c>
      <c r="C895" s="342"/>
      <c r="D895" s="359">
        <f t="shared" ca="1" si="385"/>
        <v>-0.82492807023573167</v>
      </c>
      <c r="E895" s="360">
        <f t="shared" ca="1" si="386"/>
        <v>-3.8014891922628635</v>
      </c>
      <c r="F895" s="357">
        <f t="shared" ca="1" si="387"/>
        <v>3.8899648327400347</v>
      </c>
      <c r="G895" s="359">
        <f t="shared" ca="1" si="388"/>
        <v>18.698820057564369</v>
      </c>
      <c r="H895" s="360">
        <f t="shared" ca="1" si="389"/>
        <v>-136.19717368829311</v>
      </c>
      <c r="I895" s="357">
        <f t="shared" ca="1" si="390"/>
        <v>137.47478311393783</v>
      </c>
      <c r="J895" s="359">
        <f t="shared" ca="1" si="391"/>
        <v>1009.0500868209435</v>
      </c>
      <c r="K895" s="360">
        <f t="shared" ca="1" si="392"/>
        <v>-13.342795823440293</v>
      </c>
      <c r="L895" s="357">
        <f t="shared" ca="1" si="377"/>
        <v>1009.1382996962011</v>
      </c>
      <c r="M895" s="359">
        <f t="shared" ca="1" si="393"/>
        <v>-1.4343570389066123</v>
      </c>
      <c r="N895" s="357">
        <f t="shared" ca="1" si="394"/>
        <v>-82.182604644230892</v>
      </c>
      <c r="O895" s="343"/>
      <c r="P895" s="363">
        <f t="shared" ca="1" si="395"/>
        <v>23</v>
      </c>
      <c r="Q895" s="357">
        <f t="shared" ca="1" si="396"/>
        <v>0</v>
      </c>
      <c r="R895" s="359">
        <f t="shared" ca="1" si="397"/>
        <v>0</v>
      </c>
      <c r="S895" s="360">
        <f t="shared" ca="1" si="398"/>
        <v>8.6519999999999992</v>
      </c>
      <c r="T895" s="357">
        <f t="shared" ca="1" si="378"/>
        <v>84.87612</v>
      </c>
      <c r="U895" s="364">
        <f t="shared" ca="1" si="379"/>
        <v>0</v>
      </c>
      <c r="V895" s="359">
        <f t="shared" ca="1" si="380"/>
        <v>1.2266355836513068</v>
      </c>
      <c r="W895" s="357">
        <f t="shared" ca="1" si="381"/>
        <v>52.473648680500808</v>
      </c>
      <c r="X895" s="343"/>
      <c r="Y895" s="367" t="str">
        <f t="shared" ca="1" si="399"/>
        <v/>
      </c>
      <c r="Z895" s="368" t="str">
        <f t="shared" ca="1" si="400"/>
        <v/>
      </c>
      <c r="AA895" s="369" t="str">
        <f t="shared" ca="1" si="401"/>
        <v/>
      </c>
      <c r="AB895" s="344"/>
      <c r="AC895" s="363" t="e">
        <f t="shared" ca="1" si="402"/>
        <v>#N/A</v>
      </c>
      <c r="AD895" s="376" t="e">
        <f t="shared" ca="1" si="403"/>
        <v>#N/A</v>
      </c>
      <c r="AE895" s="377" t="e">
        <f t="shared" ca="1" si="382"/>
        <v>#N/A</v>
      </c>
      <c r="AF895" s="344"/>
      <c r="AG895" s="359">
        <f t="shared" ca="1" si="404"/>
        <v>3.6539553860382652</v>
      </c>
      <c r="AH895" s="357">
        <f t="shared" ca="1" si="405"/>
        <v>-6.0648749737943346</v>
      </c>
    </row>
    <row r="896" spans="1:34" x14ac:dyDescent="0.25">
      <c r="A896" s="402">
        <f t="shared" ca="1" si="383"/>
        <v>1E-4</v>
      </c>
      <c r="B896" s="357">
        <f t="shared" ca="1" si="384"/>
        <v>35.617600000000778</v>
      </c>
      <c r="C896" s="342"/>
      <c r="D896" s="359">
        <f t="shared" ca="1" si="385"/>
        <v>-0.82492774705809524</v>
      </c>
      <c r="E896" s="360">
        <f t="shared" ca="1" si="386"/>
        <v>-3.8014482678326598</v>
      </c>
      <c r="F896" s="357">
        <f t="shared" ca="1" si="387"/>
        <v>3.8899247705931632</v>
      </c>
      <c r="G896" s="359">
        <f t="shared" ca="1" si="388"/>
        <v>18.698737564789663</v>
      </c>
      <c r="H896" s="360">
        <f t="shared" ca="1" si="389"/>
        <v>-136.19755383311988</v>
      </c>
      <c r="I896" s="357">
        <f t="shared" ca="1" si="390"/>
        <v>137.47514850562069</v>
      </c>
      <c r="J896" s="359">
        <f t="shared" ca="1" si="391"/>
        <v>1009.0500868209435</v>
      </c>
      <c r="K896" s="360">
        <f t="shared" ca="1" si="392"/>
        <v>-13.356415559816364</v>
      </c>
      <c r="L896" s="357">
        <f t="shared" ca="1" si="377"/>
        <v>1009.1384798678328</v>
      </c>
      <c r="M896" s="359">
        <f t="shared" ca="1" si="393"/>
        <v>-1.4343580094969621</v>
      </c>
      <c r="N896" s="357">
        <f t="shared" ca="1" si="394"/>
        <v>-82.182660254961576</v>
      </c>
      <c r="O896" s="343"/>
      <c r="P896" s="363">
        <f t="shared" ca="1" si="395"/>
        <v>23</v>
      </c>
      <c r="Q896" s="357">
        <f t="shared" ca="1" si="396"/>
        <v>0</v>
      </c>
      <c r="R896" s="359">
        <f t="shared" ca="1" si="397"/>
        <v>0</v>
      </c>
      <c r="S896" s="360">
        <f t="shared" ca="1" si="398"/>
        <v>8.6519999999999992</v>
      </c>
      <c r="T896" s="357">
        <f t="shared" ca="1" si="378"/>
        <v>84.87612</v>
      </c>
      <c r="U896" s="364">
        <f t="shared" ca="1" si="379"/>
        <v>0</v>
      </c>
      <c r="V896" s="359">
        <f t="shared" ca="1" si="380"/>
        <v>1.2266372542985171</v>
      </c>
      <c r="W896" s="357">
        <f t="shared" ca="1" si="381"/>
        <v>52.473999086538313</v>
      </c>
      <c r="X896" s="343"/>
      <c r="Y896" s="367" t="str">
        <f t="shared" ca="1" si="399"/>
        <v/>
      </c>
      <c r="Z896" s="368" t="str">
        <f t="shared" ca="1" si="400"/>
        <v/>
      </c>
      <c r="AA896" s="369" t="str">
        <f t="shared" ca="1" si="401"/>
        <v/>
      </c>
      <c r="AB896" s="344"/>
      <c r="AC896" s="363" t="e">
        <f t="shared" ca="1" si="402"/>
        <v>#N/A</v>
      </c>
      <c r="AD896" s="376" t="e">
        <f t="shared" ca="1" si="403"/>
        <v>#N/A</v>
      </c>
      <c r="AE896" s="377" t="e">
        <f t="shared" ca="1" si="382"/>
        <v>#N/A</v>
      </c>
      <c r="AF896" s="344"/>
      <c r="AG896" s="359">
        <f t="shared" ca="1" si="404"/>
        <v>3.6539161809916436</v>
      </c>
      <c r="AH896" s="357">
        <f t="shared" ca="1" si="405"/>
        <v>-6.0649154739367557</v>
      </c>
    </row>
    <row r="897" spans="1:34" x14ac:dyDescent="0.25">
      <c r="A897" s="402">
        <f t="shared" ca="1" si="383"/>
        <v>1E-4</v>
      </c>
      <c r="B897" s="357">
        <f t="shared" ca="1" si="384"/>
        <v>35.617700000000781</v>
      </c>
      <c r="C897" s="342"/>
      <c r="D897" s="359">
        <f t="shared" ca="1" si="385"/>
        <v>-0.82492742383974227</v>
      </c>
      <c r="E897" s="360">
        <f t="shared" ca="1" si="386"/>
        <v>-3.8014073435420128</v>
      </c>
      <c r="F897" s="357">
        <f t="shared" ca="1" si="387"/>
        <v>3.8898847085920192</v>
      </c>
      <c r="G897" s="359">
        <f t="shared" ca="1" si="388"/>
        <v>18.698655072047281</v>
      </c>
      <c r="H897" s="360">
        <f t="shared" ca="1" si="389"/>
        <v>-136.19793397385425</v>
      </c>
      <c r="I897" s="357">
        <f t="shared" ca="1" si="390"/>
        <v>137.47551389338307</v>
      </c>
      <c r="J897" s="359">
        <f t="shared" ca="1" si="391"/>
        <v>1009.0500868209435</v>
      </c>
      <c r="K897" s="360">
        <f t="shared" ca="1" si="392"/>
        <v>-13.370035334206714</v>
      </c>
      <c r="L897" s="357">
        <f t="shared" ca="1" si="377"/>
        <v>1009.1386602237532</v>
      </c>
      <c r="M897" s="359">
        <f t="shared" ca="1" si="393"/>
        <v>-1.4343589800778707</v>
      </c>
      <c r="N897" s="357">
        <f t="shared" ca="1" si="394"/>
        <v>-82.182715865151323</v>
      </c>
      <c r="O897" s="343"/>
      <c r="P897" s="363">
        <f t="shared" ca="1" si="395"/>
        <v>23</v>
      </c>
      <c r="Q897" s="357">
        <f t="shared" ca="1" si="396"/>
        <v>0</v>
      </c>
      <c r="R897" s="359">
        <f t="shared" ca="1" si="397"/>
        <v>0</v>
      </c>
      <c r="S897" s="360">
        <f t="shared" ca="1" si="398"/>
        <v>8.6519999999999992</v>
      </c>
      <c r="T897" s="357">
        <f t="shared" ca="1" si="378"/>
        <v>84.87612</v>
      </c>
      <c r="U897" s="364">
        <f t="shared" ca="1" si="379"/>
        <v>0</v>
      </c>
      <c r="V897" s="359">
        <f t="shared" ca="1" si="380"/>
        <v>1.2266389249526668</v>
      </c>
      <c r="W897" s="357">
        <f t="shared" ca="1" si="381"/>
        <v>52.474349491380991</v>
      </c>
      <c r="X897" s="343"/>
      <c r="Y897" s="367" t="str">
        <f t="shared" ca="1" si="399"/>
        <v/>
      </c>
      <c r="Z897" s="368" t="str">
        <f t="shared" ca="1" si="400"/>
        <v/>
      </c>
      <c r="AA897" s="369" t="str">
        <f t="shared" ca="1" si="401"/>
        <v/>
      </c>
      <c r="AB897" s="344"/>
      <c r="AC897" s="363" t="e">
        <f t="shared" ca="1" si="402"/>
        <v>#N/A</v>
      </c>
      <c r="AD897" s="376" t="e">
        <f t="shared" ca="1" si="403"/>
        <v>#N/A</v>
      </c>
      <c r="AE897" s="377" t="e">
        <f t="shared" ca="1" si="382"/>
        <v>#N/A</v>
      </c>
      <c r="AF897" s="344"/>
      <c r="AG897" s="359">
        <f t="shared" ca="1" si="404"/>
        <v>3.6538769760613565</v>
      </c>
      <c r="AH897" s="357">
        <f t="shared" ca="1" si="405"/>
        <v>-6.0649559739410908</v>
      </c>
    </row>
    <row r="898" spans="1:34" x14ac:dyDescent="0.25">
      <c r="A898" s="402">
        <f t="shared" ca="1" si="383"/>
        <v>1E-4</v>
      </c>
      <c r="B898" s="357">
        <f t="shared" ca="1" si="384"/>
        <v>35.617800000000784</v>
      </c>
      <c r="C898" s="342"/>
      <c r="D898" s="359">
        <f t="shared" ca="1" si="385"/>
        <v>-0.82492710058067109</v>
      </c>
      <c r="E898" s="360">
        <f t="shared" ca="1" si="386"/>
        <v>-3.8013664193909387</v>
      </c>
      <c r="F898" s="357">
        <f t="shared" ca="1" si="387"/>
        <v>3.8898446467366172</v>
      </c>
      <c r="G898" s="359">
        <f t="shared" ca="1" si="388"/>
        <v>18.698572579337224</v>
      </c>
      <c r="H898" s="360">
        <f t="shared" ca="1" si="389"/>
        <v>-136.1983141104962</v>
      </c>
      <c r="I898" s="357">
        <f t="shared" ca="1" si="390"/>
        <v>137.47587927722495</v>
      </c>
      <c r="J898" s="359">
        <f t="shared" ca="1" si="391"/>
        <v>1009.0500868209435</v>
      </c>
      <c r="K898" s="360">
        <f t="shared" ca="1" si="392"/>
        <v>-13.383655146610931</v>
      </c>
      <c r="L898" s="357">
        <f t="shared" ca="1" si="377"/>
        <v>1009.138840763964</v>
      </c>
      <c r="M898" s="359">
        <f t="shared" ca="1" si="393"/>
        <v>-1.4343599506493383</v>
      </c>
      <c r="N898" s="357">
        <f t="shared" ca="1" si="394"/>
        <v>-82.182771474800134</v>
      </c>
      <c r="O898" s="343"/>
      <c r="P898" s="363">
        <f t="shared" ca="1" si="395"/>
        <v>23</v>
      </c>
      <c r="Q898" s="357">
        <f t="shared" ca="1" si="396"/>
        <v>0</v>
      </c>
      <c r="R898" s="359">
        <f t="shared" ca="1" si="397"/>
        <v>0</v>
      </c>
      <c r="S898" s="360">
        <f t="shared" ca="1" si="398"/>
        <v>8.6519999999999992</v>
      </c>
      <c r="T898" s="357">
        <f t="shared" ca="1" si="378"/>
        <v>84.87612</v>
      </c>
      <c r="U898" s="364">
        <f t="shared" ca="1" si="379"/>
        <v>0</v>
      </c>
      <c r="V898" s="359">
        <f t="shared" ca="1" si="380"/>
        <v>1.2266405956137565</v>
      </c>
      <c r="W898" s="357">
        <f t="shared" ca="1" si="381"/>
        <v>52.474699895028806</v>
      </c>
      <c r="X898" s="343"/>
      <c r="Y898" s="367" t="str">
        <f t="shared" ca="1" si="399"/>
        <v/>
      </c>
      <c r="Z898" s="368" t="str">
        <f t="shared" ca="1" si="400"/>
        <v/>
      </c>
      <c r="AA898" s="369" t="str">
        <f t="shared" ca="1" si="401"/>
        <v/>
      </c>
      <c r="AB898" s="344"/>
      <c r="AC898" s="363" t="e">
        <f t="shared" ca="1" si="402"/>
        <v>#N/A</v>
      </c>
      <c r="AD898" s="376" t="e">
        <f t="shared" ca="1" si="403"/>
        <v>#N/A</v>
      </c>
      <c r="AE898" s="377" t="e">
        <f t="shared" ca="1" si="382"/>
        <v>#N/A</v>
      </c>
      <c r="AF898" s="344"/>
      <c r="AG898" s="359">
        <f t="shared" ca="1" si="404"/>
        <v>3.6538377712474146</v>
      </c>
      <c r="AH898" s="357">
        <f t="shared" ca="1" si="405"/>
        <v>-6.0649964738073274</v>
      </c>
    </row>
    <row r="899" spans="1:34" x14ac:dyDescent="0.25">
      <c r="A899" s="402">
        <f t="shared" ca="1" si="383"/>
        <v>1E-4</v>
      </c>
      <c r="B899" s="357">
        <f t="shared" ca="1" si="384"/>
        <v>35.617900000000787</v>
      </c>
      <c r="C899" s="342"/>
      <c r="D899" s="359">
        <f t="shared" ca="1" si="385"/>
        <v>-0.82492677728088004</v>
      </c>
      <c r="E899" s="360">
        <f t="shared" ca="1" si="386"/>
        <v>-3.8013254953794373</v>
      </c>
      <c r="F899" s="357">
        <f t="shared" ca="1" si="387"/>
        <v>3.8898045850269578</v>
      </c>
      <c r="G899" s="359">
        <f t="shared" ca="1" si="388"/>
        <v>18.698490086659497</v>
      </c>
      <c r="H899" s="360">
        <f t="shared" ca="1" si="389"/>
        <v>-136.19869424304574</v>
      </c>
      <c r="I899" s="357">
        <f t="shared" ca="1" si="390"/>
        <v>137.47624465714637</v>
      </c>
      <c r="J899" s="359">
        <f t="shared" ca="1" si="391"/>
        <v>1009.0500868209435</v>
      </c>
      <c r="K899" s="360">
        <f t="shared" ca="1" si="392"/>
        <v>-13.397274997028608</v>
      </c>
      <c r="L899" s="357">
        <f t="shared" ca="1" si="377"/>
        <v>1009.1390214884665</v>
      </c>
      <c r="M899" s="359">
        <f t="shared" ca="1" si="393"/>
        <v>-1.4343609212113648</v>
      </c>
      <c r="N899" s="357">
        <f t="shared" ca="1" si="394"/>
        <v>-82.182827083908009</v>
      </c>
      <c r="O899" s="343"/>
      <c r="P899" s="363">
        <f t="shared" ca="1" si="395"/>
        <v>23</v>
      </c>
      <c r="Q899" s="357">
        <f t="shared" ca="1" si="396"/>
        <v>0</v>
      </c>
      <c r="R899" s="359">
        <f t="shared" ca="1" si="397"/>
        <v>0</v>
      </c>
      <c r="S899" s="360">
        <f t="shared" ca="1" si="398"/>
        <v>8.6519999999999992</v>
      </c>
      <c r="T899" s="357">
        <f t="shared" ca="1" si="378"/>
        <v>84.87612</v>
      </c>
      <c r="U899" s="364">
        <f t="shared" ca="1" si="379"/>
        <v>0</v>
      </c>
      <c r="V899" s="359">
        <f t="shared" ca="1" si="380"/>
        <v>1.2266422662817857</v>
      </c>
      <c r="W899" s="357">
        <f t="shared" ca="1" si="381"/>
        <v>52.475050297481772</v>
      </c>
      <c r="X899" s="343"/>
      <c r="Y899" s="367" t="str">
        <f t="shared" ca="1" si="399"/>
        <v/>
      </c>
      <c r="Z899" s="368" t="str">
        <f t="shared" ca="1" si="400"/>
        <v/>
      </c>
      <c r="AA899" s="369" t="str">
        <f t="shared" ca="1" si="401"/>
        <v/>
      </c>
      <c r="AB899" s="344"/>
      <c r="AC899" s="363" t="e">
        <f t="shared" ca="1" si="402"/>
        <v>#N/A</v>
      </c>
      <c r="AD899" s="376" t="e">
        <f t="shared" ca="1" si="403"/>
        <v>#N/A</v>
      </c>
      <c r="AE899" s="377" t="e">
        <f t="shared" ca="1" si="382"/>
        <v>#N/A</v>
      </c>
      <c r="AF899" s="344"/>
      <c r="AG899" s="359">
        <f t="shared" ca="1" si="404"/>
        <v>3.653798566549824</v>
      </c>
      <c r="AH899" s="357">
        <f t="shared" ca="1" si="405"/>
        <v>-6.0650369735354612</v>
      </c>
    </row>
    <row r="900" spans="1:34" x14ac:dyDescent="0.25">
      <c r="A900" s="402">
        <f t="shared" ca="1" si="383"/>
        <v>1E-4</v>
      </c>
      <c r="B900" s="357">
        <f t="shared" ca="1" si="384"/>
        <v>35.618000000000791</v>
      </c>
      <c r="C900" s="342"/>
      <c r="D900" s="359">
        <f t="shared" ca="1" si="385"/>
        <v>-0.82492645394037234</v>
      </c>
      <c r="E900" s="360">
        <f t="shared" ca="1" si="386"/>
        <v>-3.8012845715075096</v>
      </c>
      <c r="F900" s="357">
        <f t="shared" ca="1" si="387"/>
        <v>3.8897645234630422</v>
      </c>
      <c r="G900" s="359">
        <f t="shared" ca="1" si="388"/>
        <v>18.698407594014103</v>
      </c>
      <c r="H900" s="360">
        <f t="shared" ca="1" si="389"/>
        <v>-136.19907437150289</v>
      </c>
      <c r="I900" s="357">
        <f t="shared" ca="1" si="390"/>
        <v>137.47661003314732</v>
      </c>
      <c r="J900" s="359">
        <f t="shared" ca="1" si="391"/>
        <v>1009.0500868209435</v>
      </c>
      <c r="K900" s="360">
        <f t="shared" ca="1" si="392"/>
        <v>-13.410894885459335</v>
      </c>
      <c r="L900" s="357">
        <f t="shared" ref="L900:L963" ca="1" si="406">SQRT(pos_x^2+pos_z^2)</f>
        <v>1009.1392023972621</v>
      </c>
      <c r="M900" s="359">
        <f t="shared" ca="1" si="393"/>
        <v>-1.4343618917639505</v>
      </c>
      <c r="N900" s="357">
        <f t="shared" ca="1" si="394"/>
        <v>-82.182882692474962</v>
      </c>
      <c r="O900" s="343"/>
      <c r="P900" s="363">
        <f t="shared" ca="1" si="395"/>
        <v>23</v>
      </c>
      <c r="Q900" s="357">
        <f t="shared" ca="1" si="396"/>
        <v>0</v>
      </c>
      <c r="R900" s="359">
        <f t="shared" ca="1" si="397"/>
        <v>0</v>
      </c>
      <c r="S900" s="360">
        <f t="shared" ca="1" si="398"/>
        <v>8.6519999999999992</v>
      </c>
      <c r="T900" s="357">
        <f t="shared" ref="T900:T963" ca="1" si="407">m*g</f>
        <v>84.87612</v>
      </c>
      <c r="U900" s="364">
        <f t="shared" ref="U900:U963" ca="1" si="408">IF(pos_xz&lt;L_rampe,Poids*COS(Beta),0)</f>
        <v>0</v>
      </c>
      <c r="V900" s="359">
        <f t="shared" ref="V900:V963" ca="1" si="409">Rho_moyen*(20000-Alt_rampe-pos_z)/(20000+Alt_rampe+pos_z)</f>
        <v>1.2266439369567552</v>
      </c>
      <c r="W900" s="357">
        <f t="shared" ref="W900:W963" ca="1" si="410">1/2*Rho*Sref*Cx*vit_xz^2</f>
        <v>52.475400698739847</v>
      </c>
      <c r="X900" s="343"/>
      <c r="Y900" s="367" t="str">
        <f t="shared" ca="1" si="399"/>
        <v/>
      </c>
      <c r="Z900" s="368" t="str">
        <f t="shared" ca="1" si="400"/>
        <v/>
      </c>
      <c r="AA900" s="369" t="str">
        <f t="shared" ca="1" si="401"/>
        <v/>
      </c>
      <c r="AB900" s="344"/>
      <c r="AC900" s="363" t="e">
        <f t="shared" ca="1" si="402"/>
        <v>#N/A</v>
      </c>
      <c r="AD900" s="376" t="e">
        <f t="shared" ca="1" si="403"/>
        <v>#N/A</v>
      </c>
      <c r="AE900" s="377" t="e">
        <f t="shared" ref="AE900:AE963" ca="1" si="411">IF(t&lt;T_para, pos_z, NA())</f>
        <v>#N/A</v>
      </c>
      <c r="AF900" s="344"/>
      <c r="AG900" s="359">
        <f t="shared" ca="1" si="404"/>
        <v>3.6537593619685795</v>
      </c>
      <c r="AH900" s="357">
        <f t="shared" ca="1" si="405"/>
        <v>-6.0650774731254939</v>
      </c>
    </row>
    <row r="901" spans="1:34" x14ac:dyDescent="0.25">
      <c r="A901" s="402">
        <f t="shared" ref="A901:A964" ca="1" si="412">IF(B900+0.01&lt;=T_ini+ROUNDUP(Temps_fin_propu,0), 0.01, IF(K900&gt;0, 0.1, 0.0001))</f>
        <v>1E-4</v>
      </c>
      <c r="B901" s="357">
        <f t="shared" ref="B901:B964" ca="1" si="413">B900+pas</f>
        <v>35.618100000000794</v>
      </c>
      <c r="C901" s="342"/>
      <c r="D901" s="359">
        <f t="shared" ref="D901:D964" ca="1" si="414">IF(AND(L900&lt;L_rampe,Poussee&lt;Poids*SIN(M900)),0,(-W900+Poussee)/m*COS(M900)-U900/m*SIN(M900))</f>
        <v>-0.82492613055914732</v>
      </c>
      <c r="E901" s="360">
        <f t="shared" ref="E901:E964" ca="1" si="415">IF(AND(L900&lt;L_rampe,Poussee&lt;Poids*SIN(M900)),0,(-W900+Poussee)/m*SIN(M900)+U900/m*COS(M900)-Poids/m)</f>
        <v>-3.801243647775161</v>
      </c>
      <c r="F901" s="357">
        <f t="shared" ref="F901:F964" ca="1" si="416">SQRT(acc_x^2+acc_z^2)</f>
        <v>3.8897244620448759</v>
      </c>
      <c r="G901" s="359">
        <f t="shared" ref="G901:G964" ca="1" si="417">G900+acc_x*pas</f>
        <v>18.698325101401046</v>
      </c>
      <c r="H901" s="360">
        <f t="shared" ref="H901:H964" ca="1" si="418">H900+acc_z*pas</f>
        <v>-136.19945449586766</v>
      </c>
      <c r="I901" s="357">
        <f t="shared" ref="I901:I964" ca="1" si="419">SQRT(vit_x^2+vit_z^2)</f>
        <v>137.47697540522782</v>
      </c>
      <c r="J901" s="359">
        <f t="shared" ref="J901:J964" ca="1" si="420">J900+0.5*(vit_x+G900)*pas*(K900&gt;=0)</f>
        <v>1009.0500868209435</v>
      </c>
      <c r="K901" s="360">
        <f t="shared" ref="K901:K964" ca="1" si="421">K900+0.5*(vit_z+H900)*pas</f>
        <v>-13.424514811902704</v>
      </c>
      <c r="L901" s="357">
        <f t="shared" ca="1" si="406"/>
        <v>1009.1393834903524</v>
      </c>
      <c r="M901" s="359">
        <f t="shared" ref="M901:M964" ca="1" si="422">IF(AND(L900&gt;L_rampe,G901&gt;0),ATAN2(G901,H901),$M$4)</f>
        <v>-1.4343628623070954</v>
      </c>
      <c r="N901" s="357">
        <f t="shared" ref="N901:N964" ca="1" si="423">DEGREES(Beta)</f>
        <v>-82.182938300500993</v>
      </c>
      <c r="O901" s="343"/>
      <c r="P901" s="363">
        <f t="shared" ref="P901:P964" ca="1" si="424">MATCH(t-pas/2-T_ini,CdP_t)</f>
        <v>23</v>
      </c>
      <c r="Q901" s="357">
        <f t="shared" ref="Q901:Q964" ca="1" si="425">(INDEX(CdP,2,i_P+1)-INDEX(CdP,2,i_P+0))/(INDEX(CdP,1,i_P+1)-INDEX(CdP,1,i_P+0))*(t-pas/2-T_ini-INDEX(CdP,1,i_P+0))+INDEX(CdP,2,i_P+0)</f>
        <v>0</v>
      </c>
      <c r="R901" s="359">
        <f t="shared" ref="R901:R964" ca="1" si="426">Poussee/(g*ISP)</f>
        <v>0</v>
      </c>
      <c r="S901" s="360">
        <f t="shared" ref="S901:S964" ca="1" si="427">S900-Débit*pas</f>
        <v>8.6519999999999992</v>
      </c>
      <c r="T901" s="357">
        <f t="shared" ca="1" si="407"/>
        <v>84.87612</v>
      </c>
      <c r="U901" s="364">
        <f t="shared" ca="1" si="408"/>
        <v>0</v>
      </c>
      <c r="V901" s="359">
        <f t="shared" ca="1" si="409"/>
        <v>1.2266456076386643</v>
      </c>
      <c r="W901" s="357">
        <f t="shared" ca="1" si="410"/>
        <v>52.475751098803009</v>
      </c>
      <c r="X901" s="343"/>
      <c r="Y901" s="367" t="str">
        <f t="shared" ref="Y901:Y964" ca="1" si="428">IF(AND(pos_z&lt;=0,K900&gt;0),"Impact balistique","") &amp; IF(AND(H902&lt;0,vit_z&gt;=0),"Apogée","") &amp; IF(AND(Poussee=0,Q900&gt;0),"Fin de propulsion","") &amp; IF(AND(L902&gt;L_rampe,pos_xz&lt;=L_rampe),"Sortie de rampe","")</f>
        <v/>
      </c>
      <c r="Z901" s="368" t="str">
        <f t="shared" ref="Z901:Z964" ca="1" si="429">IF(ABS(t-T_para)&lt;pas/2,"Para","")</f>
        <v/>
      </c>
      <c r="AA901" s="369" t="str">
        <f t="shared" ref="AA901:AA964" ca="1" si="430">IF(ABS(t-T_satellite)&lt;pas/2,"Satellite","")</f>
        <v/>
      </c>
      <c r="AB901" s="344"/>
      <c r="AC901" s="363" t="e">
        <f t="shared" ref="AC901:AC964" ca="1" si="431">IF(ABS(t-ROUND(t,0))&lt;0.001,t,NA())</f>
        <v>#N/A</v>
      </c>
      <c r="AD901" s="376" t="e">
        <f t="shared" ref="AD901:AD964" ca="1" si="432">IF(ABS(t-ROUND(t,0))&lt;0.001,pos_x,NA())</f>
        <v>#N/A</v>
      </c>
      <c r="AE901" s="377" t="e">
        <f t="shared" ca="1" si="411"/>
        <v>#N/A</v>
      </c>
      <c r="AF901" s="344"/>
      <c r="AG901" s="359">
        <f t="shared" ref="AG901:AG964" ca="1" si="433">IF(AND(L900&lt;L_rampe,Poussee&lt;Poids*SIN(M900)),0,(-W900+Poussee)/m-Poids*SIN(M900)/m)</f>
        <v>3.6537201575036891</v>
      </c>
      <c r="AH901" s="357">
        <f t="shared" ref="AH901:AH964" ca="1" si="434">IF(AND(L900&lt;L_rampe,Poussee&lt;Poids*SIN(M900)), g*SIN(M900), (-W900+Poussee)/m)</f>
        <v>-6.0651179725774211</v>
      </c>
    </row>
    <row r="902" spans="1:34" x14ac:dyDescent="0.25">
      <c r="A902" s="402">
        <f t="shared" ca="1" si="412"/>
        <v>1E-4</v>
      </c>
      <c r="B902" s="357">
        <f t="shared" ca="1" si="413"/>
        <v>35.618200000000797</v>
      </c>
      <c r="C902" s="342"/>
      <c r="D902" s="359">
        <f t="shared" ca="1" si="414"/>
        <v>-0.82492580713720509</v>
      </c>
      <c r="E902" s="360">
        <f t="shared" ca="1" si="415"/>
        <v>-3.8012027241823914</v>
      </c>
      <c r="F902" s="357">
        <f t="shared" ca="1" si="416"/>
        <v>3.8896844007724591</v>
      </c>
      <c r="G902" s="359">
        <f t="shared" ca="1" si="417"/>
        <v>18.698242608820333</v>
      </c>
      <c r="H902" s="360">
        <f t="shared" ca="1" si="418"/>
        <v>-136.19983461614007</v>
      </c>
      <c r="I902" s="357">
        <f t="shared" ca="1" si="419"/>
        <v>137.47734077338785</v>
      </c>
      <c r="J902" s="359">
        <f t="shared" ca="1" si="420"/>
        <v>1009.0500868209435</v>
      </c>
      <c r="K902" s="360">
        <f t="shared" ca="1" si="421"/>
        <v>-13.438134776358304</v>
      </c>
      <c r="L902" s="357">
        <f t="shared" ca="1" si="406"/>
        <v>1009.1395647677388</v>
      </c>
      <c r="M902" s="359">
        <f t="shared" ca="1" si="422"/>
        <v>-1.4343638328407999</v>
      </c>
      <c r="N902" s="357">
        <f t="shared" ca="1" si="423"/>
        <v>-82.182993907986145</v>
      </c>
      <c r="O902" s="343"/>
      <c r="P902" s="363">
        <f t="shared" ca="1" si="424"/>
        <v>23</v>
      </c>
      <c r="Q902" s="357">
        <f t="shared" ca="1" si="425"/>
        <v>0</v>
      </c>
      <c r="R902" s="359">
        <f t="shared" ca="1" si="426"/>
        <v>0</v>
      </c>
      <c r="S902" s="360">
        <f t="shared" ca="1" si="427"/>
        <v>8.6519999999999992</v>
      </c>
      <c r="T902" s="357">
        <f t="shared" ca="1" si="407"/>
        <v>84.87612</v>
      </c>
      <c r="U902" s="364">
        <f t="shared" ca="1" si="408"/>
        <v>0</v>
      </c>
      <c r="V902" s="359">
        <f t="shared" ca="1" si="409"/>
        <v>1.2266472783275131</v>
      </c>
      <c r="W902" s="357">
        <f t="shared" ca="1" si="410"/>
        <v>52.47610149767123</v>
      </c>
      <c r="X902" s="343"/>
      <c r="Y902" s="367" t="str">
        <f t="shared" ca="1" si="428"/>
        <v/>
      </c>
      <c r="Z902" s="368" t="str">
        <f t="shared" ca="1" si="429"/>
        <v/>
      </c>
      <c r="AA902" s="369" t="str">
        <f t="shared" ca="1" si="430"/>
        <v/>
      </c>
      <c r="AB902" s="344"/>
      <c r="AC902" s="363" t="e">
        <f t="shared" ca="1" si="431"/>
        <v>#N/A</v>
      </c>
      <c r="AD902" s="376" t="e">
        <f t="shared" ca="1" si="432"/>
        <v>#N/A</v>
      </c>
      <c r="AE902" s="377" t="e">
        <f t="shared" ca="1" si="411"/>
        <v>#N/A</v>
      </c>
      <c r="AF902" s="344"/>
      <c r="AG902" s="359">
        <f t="shared" ca="1" si="433"/>
        <v>3.6536809531551562</v>
      </c>
      <c r="AH902" s="357">
        <f t="shared" ca="1" si="434"/>
        <v>-6.065158471891241</v>
      </c>
    </row>
    <row r="903" spans="1:34" x14ac:dyDescent="0.25">
      <c r="A903" s="402">
        <f t="shared" ca="1" si="412"/>
        <v>1E-4</v>
      </c>
      <c r="B903" s="357">
        <f t="shared" ca="1" si="413"/>
        <v>35.618300000000801</v>
      </c>
      <c r="C903" s="342"/>
      <c r="D903" s="359">
        <f t="shared" ca="1" si="414"/>
        <v>-0.8249254836745451</v>
      </c>
      <c r="E903" s="360">
        <f t="shared" ca="1" si="415"/>
        <v>-3.8011618007292061</v>
      </c>
      <c r="F903" s="357">
        <f t="shared" ca="1" si="416"/>
        <v>3.889644339645796</v>
      </c>
      <c r="G903" s="359">
        <f t="shared" ca="1" si="417"/>
        <v>18.698160116271964</v>
      </c>
      <c r="H903" s="360">
        <f t="shared" ca="1" si="418"/>
        <v>-136.20021473232015</v>
      </c>
      <c r="I903" s="357">
        <f t="shared" ca="1" si="419"/>
        <v>137.47770613762751</v>
      </c>
      <c r="J903" s="359">
        <f t="shared" ca="1" si="420"/>
        <v>1009.0500868209435</v>
      </c>
      <c r="K903" s="360">
        <f t="shared" ca="1" si="421"/>
        <v>-13.451754778825727</v>
      </c>
      <c r="L903" s="357">
        <f t="shared" ca="1" si="406"/>
        <v>1009.1397462294225</v>
      </c>
      <c r="M903" s="359">
        <f t="shared" ca="1" si="422"/>
        <v>-1.434364803365064</v>
      </c>
      <c r="N903" s="357">
        <f t="shared" ca="1" si="423"/>
        <v>-82.183049514930389</v>
      </c>
      <c r="O903" s="343"/>
      <c r="P903" s="363">
        <f t="shared" ca="1" si="424"/>
        <v>23</v>
      </c>
      <c r="Q903" s="357">
        <f t="shared" ca="1" si="425"/>
        <v>0</v>
      </c>
      <c r="R903" s="359">
        <f t="shared" ca="1" si="426"/>
        <v>0</v>
      </c>
      <c r="S903" s="360">
        <f t="shared" ca="1" si="427"/>
        <v>8.6519999999999992</v>
      </c>
      <c r="T903" s="357">
        <f t="shared" ca="1" si="407"/>
        <v>84.87612</v>
      </c>
      <c r="U903" s="364">
        <f t="shared" ca="1" si="408"/>
        <v>0</v>
      </c>
      <c r="V903" s="359">
        <f t="shared" ca="1" si="409"/>
        <v>1.2266489490233017</v>
      </c>
      <c r="W903" s="357">
        <f t="shared" ca="1" si="410"/>
        <v>52.476451895344532</v>
      </c>
      <c r="X903" s="343"/>
      <c r="Y903" s="367" t="str">
        <f t="shared" ca="1" si="428"/>
        <v/>
      </c>
      <c r="Z903" s="368" t="str">
        <f t="shared" ca="1" si="429"/>
        <v/>
      </c>
      <c r="AA903" s="369" t="str">
        <f t="shared" ca="1" si="430"/>
        <v/>
      </c>
      <c r="AB903" s="344"/>
      <c r="AC903" s="363" t="e">
        <f t="shared" ca="1" si="431"/>
        <v>#N/A</v>
      </c>
      <c r="AD903" s="376" t="e">
        <f t="shared" ca="1" si="432"/>
        <v>#N/A</v>
      </c>
      <c r="AE903" s="377" t="e">
        <f t="shared" ca="1" si="411"/>
        <v>#N/A</v>
      </c>
      <c r="AF903" s="344"/>
      <c r="AG903" s="359">
        <f t="shared" ca="1" si="433"/>
        <v>3.6536417489229844</v>
      </c>
      <c r="AH903" s="357">
        <f t="shared" ca="1" si="434"/>
        <v>-6.0651989710669483</v>
      </c>
    </row>
    <row r="904" spans="1:34" x14ac:dyDescent="0.25">
      <c r="A904" s="402">
        <f t="shared" ca="1" si="412"/>
        <v>1E-4</v>
      </c>
      <c r="B904" s="357">
        <f t="shared" ca="1" si="413"/>
        <v>35.618400000000804</v>
      </c>
      <c r="C904" s="342"/>
      <c r="D904" s="359">
        <f t="shared" ca="1" si="414"/>
        <v>-0.82492516017116957</v>
      </c>
      <c r="E904" s="360">
        <f t="shared" ca="1" si="415"/>
        <v>-3.8011208774156025</v>
      </c>
      <c r="F904" s="357">
        <f t="shared" ca="1" si="416"/>
        <v>3.8896042786648861</v>
      </c>
      <c r="G904" s="359">
        <f t="shared" ca="1" si="417"/>
        <v>18.698077623755946</v>
      </c>
      <c r="H904" s="360">
        <f t="shared" ca="1" si="418"/>
        <v>-136.2005948444079</v>
      </c>
      <c r="I904" s="357">
        <f t="shared" ca="1" si="419"/>
        <v>137.47807149794673</v>
      </c>
      <c r="J904" s="359">
        <f t="shared" ca="1" si="420"/>
        <v>1009.0500868209435</v>
      </c>
      <c r="K904" s="360">
        <f t="shared" ca="1" si="421"/>
        <v>-13.465374819304563</v>
      </c>
      <c r="L904" s="357">
        <f t="shared" ca="1" si="406"/>
        <v>1009.1399278754052</v>
      </c>
      <c r="M904" s="359">
        <f t="shared" ca="1" si="422"/>
        <v>-1.4343657738798878</v>
      </c>
      <c r="N904" s="357">
        <f t="shared" ca="1" si="423"/>
        <v>-82.183105121333753</v>
      </c>
      <c r="O904" s="343"/>
      <c r="P904" s="363">
        <f t="shared" ca="1" si="424"/>
        <v>23</v>
      </c>
      <c r="Q904" s="357">
        <f t="shared" ca="1" si="425"/>
        <v>0</v>
      </c>
      <c r="R904" s="359">
        <f t="shared" ca="1" si="426"/>
        <v>0</v>
      </c>
      <c r="S904" s="360">
        <f t="shared" ca="1" si="427"/>
        <v>8.6519999999999992</v>
      </c>
      <c r="T904" s="357">
        <f t="shared" ca="1" si="407"/>
        <v>84.87612</v>
      </c>
      <c r="U904" s="364">
        <f t="shared" ca="1" si="408"/>
        <v>0</v>
      </c>
      <c r="V904" s="359">
        <f t="shared" ca="1" si="409"/>
        <v>1.2266506197260298</v>
      </c>
      <c r="W904" s="357">
        <f t="shared" ca="1" si="410"/>
        <v>52.476802291822835</v>
      </c>
      <c r="X904" s="343"/>
      <c r="Y904" s="367" t="str">
        <f t="shared" ca="1" si="428"/>
        <v/>
      </c>
      <c r="Z904" s="368" t="str">
        <f t="shared" ca="1" si="429"/>
        <v/>
      </c>
      <c r="AA904" s="369" t="str">
        <f t="shared" ca="1" si="430"/>
        <v/>
      </c>
      <c r="AB904" s="344"/>
      <c r="AC904" s="363" t="e">
        <f t="shared" ca="1" si="431"/>
        <v>#N/A</v>
      </c>
      <c r="AD904" s="376" t="e">
        <f t="shared" ca="1" si="432"/>
        <v>#N/A</v>
      </c>
      <c r="AE904" s="377" t="e">
        <f t="shared" ca="1" si="411"/>
        <v>#N/A</v>
      </c>
      <c r="AF904" s="344"/>
      <c r="AG904" s="359">
        <f t="shared" ca="1" si="433"/>
        <v>3.6536025448071721</v>
      </c>
      <c r="AH904" s="357">
        <f t="shared" ca="1" si="434"/>
        <v>-6.0652394701045464</v>
      </c>
    </row>
    <row r="905" spans="1:34" x14ac:dyDescent="0.25">
      <c r="A905" s="402">
        <f t="shared" ca="1" si="412"/>
        <v>1E-4</v>
      </c>
      <c r="B905" s="357">
        <f t="shared" ca="1" si="413"/>
        <v>35.618500000000807</v>
      </c>
      <c r="C905" s="342"/>
      <c r="D905" s="359">
        <f t="shared" ca="1" si="414"/>
        <v>-0.82492483662707727</v>
      </c>
      <c r="E905" s="360">
        <f t="shared" ca="1" si="415"/>
        <v>-3.8010799542415885</v>
      </c>
      <c r="F905" s="357">
        <f t="shared" ca="1" si="416"/>
        <v>3.889564217829736</v>
      </c>
      <c r="G905" s="359">
        <f t="shared" ca="1" si="417"/>
        <v>18.697995131272283</v>
      </c>
      <c r="H905" s="360">
        <f t="shared" ca="1" si="418"/>
        <v>-136.20097495240333</v>
      </c>
      <c r="I905" s="357">
        <f t="shared" ca="1" si="419"/>
        <v>137.47843685434557</v>
      </c>
      <c r="J905" s="359">
        <f t="shared" ca="1" si="420"/>
        <v>1009.0500868209435</v>
      </c>
      <c r="K905" s="360">
        <f t="shared" ca="1" si="421"/>
        <v>-13.478994897794403</v>
      </c>
      <c r="L905" s="357">
        <f t="shared" ca="1" si="406"/>
        <v>1009.1401097056882</v>
      </c>
      <c r="M905" s="359">
        <f t="shared" ca="1" si="422"/>
        <v>-1.4343667443852717</v>
      </c>
      <c r="N905" s="357">
        <f t="shared" ca="1" si="423"/>
        <v>-82.183160727196238</v>
      </c>
      <c r="O905" s="343"/>
      <c r="P905" s="363">
        <f t="shared" ca="1" si="424"/>
        <v>23</v>
      </c>
      <c r="Q905" s="357">
        <f t="shared" ca="1" si="425"/>
        <v>0</v>
      </c>
      <c r="R905" s="359">
        <f t="shared" ca="1" si="426"/>
        <v>0</v>
      </c>
      <c r="S905" s="360">
        <f t="shared" ca="1" si="427"/>
        <v>8.6519999999999992</v>
      </c>
      <c r="T905" s="357">
        <f t="shared" ca="1" si="407"/>
        <v>84.87612</v>
      </c>
      <c r="U905" s="364">
        <f t="shared" ca="1" si="408"/>
        <v>0</v>
      </c>
      <c r="V905" s="359">
        <f t="shared" ca="1" si="409"/>
        <v>1.2266522904356978</v>
      </c>
      <c r="W905" s="357">
        <f t="shared" ca="1" si="410"/>
        <v>52.477152687106205</v>
      </c>
      <c r="X905" s="343"/>
      <c r="Y905" s="367" t="str">
        <f t="shared" ca="1" si="428"/>
        <v/>
      </c>
      <c r="Z905" s="368" t="str">
        <f t="shared" ca="1" si="429"/>
        <v/>
      </c>
      <c r="AA905" s="369" t="str">
        <f t="shared" ca="1" si="430"/>
        <v/>
      </c>
      <c r="AB905" s="344"/>
      <c r="AC905" s="363" t="e">
        <f t="shared" ca="1" si="431"/>
        <v>#N/A</v>
      </c>
      <c r="AD905" s="376" t="e">
        <f t="shared" ca="1" si="432"/>
        <v>#N/A</v>
      </c>
      <c r="AE905" s="377" t="e">
        <f t="shared" ca="1" si="411"/>
        <v>#N/A</v>
      </c>
      <c r="AF905" s="344"/>
      <c r="AG905" s="359">
        <f t="shared" ca="1" si="433"/>
        <v>3.6535633408077279</v>
      </c>
      <c r="AH905" s="357">
        <f t="shared" ca="1" si="434"/>
        <v>-6.0652799690040267</v>
      </c>
    </row>
    <row r="906" spans="1:34" x14ac:dyDescent="0.25">
      <c r="A906" s="402">
        <f t="shared" ca="1" si="412"/>
        <v>1E-4</v>
      </c>
      <c r="B906" s="357">
        <f t="shared" ca="1" si="413"/>
        <v>35.618600000000811</v>
      </c>
      <c r="C906" s="342"/>
      <c r="D906" s="359">
        <f t="shared" ca="1" si="414"/>
        <v>-0.82492451304226944</v>
      </c>
      <c r="E906" s="360">
        <f t="shared" ca="1" si="415"/>
        <v>-3.801039031207158</v>
      </c>
      <c r="F906" s="357">
        <f t="shared" ca="1" si="416"/>
        <v>3.8895241571403405</v>
      </c>
      <c r="G906" s="359">
        <f t="shared" ca="1" si="417"/>
        <v>18.697912638820977</v>
      </c>
      <c r="H906" s="360">
        <f t="shared" ca="1" si="418"/>
        <v>-136.20135505630645</v>
      </c>
      <c r="I906" s="357">
        <f t="shared" ca="1" si="419"/>
        <v>137.47880220682401</v>
      </c>
      <c r="J906" s="359">
        <f t="shared" ca="1" si="420"/>
        <v>1009.0500868209435</v>
      </c>
      <c r="K906" s="360">
        <f t="shared" ca="1" si="421"/>
        <v>-13.492615014294838</v>
      </c>
      <c r="L906" s="357">
        <f t="shared" ca="1" si="406"/>
        <v>1009.140291720273</v>
      </c>
      <c r="M906" s="359">
        <f t="shared" ca="1" si="422"/>
        <v>-1.4343677148812153</v>
      </c>
      <c r="N906" s="357">
        <f t="shared" ca="1" si="423"/>
        <v>-82.183216332517844</v>
      </c>
      <c r="O906" s="343"/>
      <c r="P906" s="363">
        <f t="shared" ca="1" si="424"/>
        <v>23</v>
      </c>
      <c r="Q906" s="357">
        <f t="shared" ca="1" si="425"/>
        <v>0</v>
      </c>
      <c r="R906" s="359">
        <f t="shared" ca="1" si="426"/>
        <v>0</v>
      </c>
      <c r="S906" s="360">
        <f t="shared" ca="1" si="427"/>
        <v>8.6519999999999992</v>
      </c>
      <c r="T906" s="357">
        <f t="shared" ca="1" si="407"/>
        <v>84.87612</v>
      </c>
      <c r="U906" s="364">
        <f t="shared" ca="1" si="408"/>
        <v>0</v>
      </c>
      <c r="V906" s="359">
        <f t="shared" ca="1" si="409"/>
        <v>1.2266539611523053</v>
      </c>
      <c r="W906" s="357">
        <f t="shared" ca="1" si="410"/>
        <v>52.477503081194527</v>
      </c>
      <c r="X906" s="343"/>
      <c r="Y906" s="367" t="str">
        <f t="shared" ca="1" si="428"/>
        <v/>
      </c>
      <c r="Z906" s="368" t="str">
        <f t="shared" ca="1" si="429"/>
        <v/>
      </c>
      <c r="AA906" s="369" t="str">
        <f t="shared" ca="1" si="430"/>
        <v/>
      </c>
      <c r="AB906" s="344"/>
      <c r="AC906" s="363" t="e">
        <f t="shared" ca="1" si="431"/>
        <v>#N/A</v>
      </c>
      <c r="AD906" s="376" t="e">
        <f t="shared" ca="1" si="432"/>
        <v>#N/A</v>
      </c>
      <c r="AE906" s="377" t="e">
        <f t="shared" ca="1" si="411"/>
        <v>#N/A</v>
      </c>
      <c r="AF906" s="344"/>
      <c r="AG906" s="359">
        <f t="shared" ca="1" si="433"/>
        <v>3.6535241369246432</v>
      </c>
      <c r="AH906" s="357">
        <f t="shared" ca="1" si="434"/>
        <v>-6.065320467765396</v>
      </c>
    </row>
    <row r="907" spans="1:34" x14ac:dyDescent="0.25">
      <c r="A907" s="402">
        <f t="shared" ca="1" si="412"/>
        <v>1E-4</v>
      </c>
      <c r="B907" s="357">
        <f t="shared" ca="1" si="413"/>
        <v>35.618700000000814</v>
      </c>
      <c r="C907" s="342"/>
      <c r="D907" s="359">
        <f t="shared" ca="1" si="414"/>
        <v>-0.8249241894167475</v>
      </c>
      <c r="E907" s="360">
        <f t="shared" ca="1" si="415"/>
        <v>-3.8009981083123234</v>
      </c>
      <c r="F907" s="357">
        <f t="shared" ca="1" si="416"/>
        <v>3.8894840965967119</v>
      </c>
      <c r="G907" s="359">
        <f t="shared" ca="1" si="417"/>
        <v>18.697830146402037</v>
      </c>
      <c r="H907" s="360">
        <f t="shared" ca="1" si="418"/>
        <v>-136.20173515611728</v>
      </c>
      <c r="I907" s="357">
        <f t="shared" ca="1" si="419"/>
        <v>137.47916755538205</v>
      </c>
      <c r="J907" s="359">
        <f t="shared" ca="1" si="420"/>
        <v>1009.0500868209435</v>
      </c>
      <c r="K907" s="360">
        <f t="shared" ca="1" si="421"/>
        <v>-13.506235168805459</v>
      </c>
      <c r="L907" s="357">
        <f t="shared" ca="1" si="406"/>
        <v>1009.140473919161</v>
      </c>
      <c r="M907" s="359">
        <f t="shared" ca="1" si="422"/>
        <v>-1.4343686853677193</v>
      </c>
      <c r="N907" s="357">
        <f t="shared" ca="1" si="423"/>
        <v>-82.183271937298599</v>
      </c>
      <c r="O907" s="343"/>
      <c r="P907" s="363">
        <f t="shared" ca="1" si="424"/>
        <v>23</v>
      </c>
      <c r="Q907" s="357">
        <f t="shared" ca="1" si="425"/>
        <v>0</v>
      </c>
      <c r="R907" s="359">
        <f t="shared" ca="1" si="426"/>
        <v>0</v>
      </c>
      <c r="S907" s="360">
        <f t="shared" ca="1" si="427"/>
        <v>8.6519999999999992</v>
      </c>
      <c r="T907" s="357">
        <f t="shared" ca="1" si="407"/>
        <v>84.87612</v>
      </c>
      <c r="U907" s="364">
        <f t="shared" ca="1" si="408"/>
        <v>0</v>
      </c>
      <c r="V907" s="359">
        <f t="shared" ca="1" si="409"/>
        <v>1.2266556318758524</v>
      </c>
      <c r="W907" s="357">
        <f t="shared" ca="1" si="410"/>
        <v>52.477853474087802</v>
      </c>
      <c r="X907" s="343"/>
      <c r="Y907" s="367" t="str">
        <f t="shared" ca="1" si="428"/>
        <v/>
      </c>
      <c r="Z907" s="368" t="str">
        <f t="shared" ca="1" si="429"/>
        <v/>
      </c>
      <c r="AA907" s="369" t="str">
        <f t="shared" ca="1" si="430"/>
        <v/>
      </c>
      <c r="AB907" s="344"/>
      <c r="AC907" s="363" t="e">
        <f t="shared" ca="1" si="431"/>
        <v>#N/A</v>
      </c>
      <c r="AD907" s="376" t="e">
        <f t="shared" ca="1" si="432"/>
        <v>#N/A</v>
      </c>
      <c r="AE907" s="377" t="e">
        <f t="shared" ca="1" si="411"/>
        <v>#N/A</v>
      </c>
      <c r="AF907" s="344"/>
      <c r="AG907" s="359">
        <f t="shared" ca="1" si="433"/>
        <v>3.6534849331579355</v>
      </c>
      <c r="AH907" s="357">
        <f t="shared" ca="1" si="434"/>
        <v>-6.0653609663886421</v>
      </c>
    </row>
    <row r="908" spans="1:34" x14ac:dyDescent="0.25">
      <c r="A908" s="402">
        <f t="shared" ca="1" si="412"/>
        <v>1E-4</v>
      </c>
      <c r="B908" s="357">
        <f t="shared" ca="1" si="413"/>
        <v>35.618800000000817</v>
      </c>
      <c r="C908" s="342"/>
      <c r="D908" s="359">
        <f t="shared" ca="1" si="414"/>
        <v>-0.82492386575050858</v>
      </c>
      <c r="E908" s="360">
        <f t="shared" ca="1" si="415"/>
        <v>-3.8009571855570847</v>
      </c>
      <c r="F908" s="357">
        <f t="shared" ca="1" si="416"/>
        <v>3.8894440361988494</v>
      </c>
      <c r="G908" s="359">
        <f t="shared" ca="1" si="417"/>
        <v>18.697747654015462</v>
      </c>
      <c r="H908" s="360">
        <f t="shared" ca="1" si="418"/>
        <v>-136.20211525183583</v>
      </c>
      <c r="I908" s="357">
        <f t="shared" ca="1" si="419"/>
        <v>137.47953290001976</v>
      </c>
      <c r="J908" s="359">
        <f t="shared" ca="1" si="420"/>
        <v>1009.0500868209435</v>
      </c>
      <c r="K908" s="360">
        <f t="shared" ca="1" si="421"/>
        <v>-13.519855361325856</v>
      </c>
      <c r="L908" s="357">
        <f t="shared" ca="1" si="406"/>
        <v>1009.1406563023535</v>
      </c>
      <c r="M908" s="359">
        <f t="shared" ca="1" si="422"/>
        <v>-1.4343696558447834</v>
      </c>
      <c r="N908" s="357">
        <f t="shared" ca="1" si="423"/>
        <v>-82.183327541538475</v>
      </c>
      <c r="O908" s="343"/>
      <c r="P908" s="363">
        <f t="shared" ca="1" si="424"/>
        <v>23</v>
      </c>
      <c r="Q908" s="357">
        <f t="shared" ca="1" si="425"/>
        <v>0</v>
      </c>
      <c r="R908" s="359">
        <f t="shared" ca="1" si="426"/>
        <v>0</v>
      </c>
      <c r="S908" s="360">
        <f t="shared" ca="1" si="427"/>
        <v>8.6519999999999992</v>
      </c>
      <c r="T908" s="357">
        <f t="shared" ca="1" si="407"/>
        <v>84.87612</v>
      </c>
      <c r="U908" s="364">
        <f t="shared" ca="1" si="408"/>
        <v>0</v>
      </c>
      <c r="V908" s="359">
        <f t="shared" ca="1" si="409"/>
        <v>1.226657302606339</v>
      </c>
      <c r="W908" s="357">
        <f t="shared" ca="1" si="410"/>
        <v>52.47820386578605</v>
      </c>
      <c r="X908" s="343"/>
      <c r="Y908" s="367" t="str">
        <f t="shared" ca="1" si="428"/>
        <v/>
      </c>
      <c r="Z908" s="368" t="str">
        <f t="shared" ca="1" si="429"/>
        <v/>
      </c>
      <c r="AA908" s="369" t="str">
        <f t="shared" ca="1" si="430"/>
        <v/>
      </c>
      <c r="AB908" s="344"/>
      <c r="AC908" s="363" t="e">
        <f t="shared" ca="1" si="431"/>
        <v>#N/A</v>
      </c>
      <c r="AD908" s="376" t="e">
        <f t="shared" ca="1" si="432"/>
        <v>#N/A</v>
      </c>
      <c r="AE908" s="377" t="e">
        <f t="shared" ca="1" si="411"/>
        <v>#N/A</v>
      </c>
      <c r="AF908" s="344"/>
      <c r="AG908" s="359">
        <f t="shared" ca="1" si="433"/>
        <v>3.6534457295076024</v>
      </c>
      <c r="AH908" s="357">
        <f t="shared" ca="1" si="434"/>
        <v>-6.065401464873764</v>
      </c>
    </row>
    <row r="909" spans="1:34" x14ac:dyDescent="0.25">
      <c r="A909" s="402">
        <f t="shared" ca="1" si="412"/>
        <v>1E-4</v>
      </c>
      <c r="B909" s="357">
        <f t="shared" ca="1" si="413"/>
        <v>35.618900000000821</v>
      </c>
      <c r="C909" s="342"/>
      <c r="D909" s="359">
        <f t="shared" ca="1" si="414"/>
        <v>-0.82492354204355733</v>
      </c>
      <c r="E909" s="360">
        <f t="shared" ca="1" si="415"/>
        <v>-3.8009162629414401</v>
      </c>
      <c r="F909" s="357">
        <f t="shared" ca="1" si="416"/>
        <v>3.8894039759467529</v>
      </c>
      <c r="G909" s="359">
        <f t="shared" ca="1" si="417"/>
        <v>18.697665161661259</v>
      </c>
      <c r="H909" s="360">
        <f t="shared" ca="1" si="418"/>
        <v>-136.20249534346212</v>
      </c>
      <c r="I909" s="357">
        <f t="shared" ca="1" si="419"/>
        <v>137.47989824073707</v>
      </c>
      <c r="J909" s="359">
        <f t="shared" ca="1" si="420"/>
        <v>1009.0500868209435</v>
      </c>
      <c r="K909" s="360">
        <f t="shared" ca="1" si="421"/>
        <v>-13.533475591855622</v>
      </c>
      <c r="L909" s="357">
        <f t="shared" ca="1" si="406"/>
        <v>1009.1408388698522</v>
      </c>
      <c r="M909" s="359">
        <f t="shared" ca="1" si="422"/>
        <v>-1.4343706263124081</v>
      </c>
      <c r="N909" s="357">
        <f t="shared" ca="1" si="423"/>
        <v>-82.183383145237528</v>
      </c>
      <c r="O909" s="343"/>
      <c r="P909" s="363">
        <f t="shared" ca="1" si="424"/>
        <v>23</v>
      </c>
      <c r="Q909" s="357">
        <f t="shared" ca="1" si="425"/>
        <v>0</v>
      </c>
      <c r="R909" s="359">
        <f t="shared" ca="1" si="426"/>
        <v>0</v>
      </c>
      <c r="S909" s="360">
        <f t="shared" ca="1" si="427"/>
        <v>8.6519999999999992</v>
      </c>
      <c r="T909" s="357">
        <f t="shared" ca="1" si="407"/>
        <v>84.87612</v>
      </c>
      <c r="U909" s="364">
        <f t="shared" ca="1" si="408"/>
        <v>0</v>
      </c>
      <c r="V909" s="359">
        <f t="shared" ca="1" si="409"/>
        <v>1.2266589733437652</v>
      </c>
      <c r="W909" s="357">
        <f t="shared" ca="1" si="410"/>
        <v>52.4785542562892</v>
      </c>
      <c r="X909" s="343"/>
      <c r="Y909" s="367" t="str">
        <f t="shared" ca="1" si="428"/>
        <v/>
      </c>
      <c r="Z909" s="368" t="str">
        <f t="shared" ca="1" si="429"/>
        <v/>
      </c>
      <c r="AA909" s="369" t="str">
        <f t="shared" ca="1" si="430"/>
        <v/>
      </c>
      <c r="AB909" s="344"/>
      <c r="AC909" s="363" t="e">
        <f t="shared" ca="1" si="431"/>
        <v>#N/A</v>
      </c>
      <c r="AD909" s="376" t="e">
        <f t="shared" ca="1" si="432"/>
        <v>#N/A</v>
      </c>
      <c r="AE909" s="377" t="e">
        <f t="shared" ca="1" si="411"/>
        <v>#N/A</v>
      </c>
      <c r="AF909" s="344"/>
      <c r="AG909" s="359">
        <f t="shared" ca="1" si="433"/>
        <v>3.6534065259736428</v>
      </c>
      <c r="AH909" s="357">
        <f t="shared" ca="1" si="434"/>
        <v>-6.0654419632207643</v>
      </c>
    </row>
    <row r="910" spans="1:34" x14ac:dyDescent="0.25">
      <c r="A910" s="402">
        <f t="shared" ca="1" si="412"/>
        <v>1E-4</v>
      </c>
      <c r="B910" s="357">
        <f t="shared" ca="1" si="413"/>
        <v>35.619000000000824</v>
      </c>
      <c r="C910" s="342"/>
      <c r="D910" s="359">
        <f t="shared" ca="1" si="414"/>
        <v>-0.82492321829589021</v>
      </c>
      <c r="E910" s="360">
        <f t="shared" ca="1" si="415"/>
        <v>-3.8008753404653977</v>
      </c>
      <c r="F910" s="357">
        <f t="shared" ca="1" si="416"/>
        <v>3.8893639158404296</v>
      </c>
      <c r="G910" s="359">
        <f t="shared" ca="1" si="417"/>
        <v>18.697582669339429</v>
      </c>
      <c r="H910" s="360">
        <f t="shared" ca="1" si="418"/>
        <v>-136.20287543099616</v>
      </c>
      <c r="I910" s="357">
        <f t="shared" ca="1" si="419"/>
        <v>137.48026357753406</v>
      </c>
      <c r="J910" s="359">
        <f t="shared" ca="1" si="420"/>
        <v>1009.0500868209435</v>
      </c>
      <c r="K910" s="360">
        <f t="shared" ca="1" si="421"/>
        <v>-13.547095860394345</v>
      </c>
      <c r="L910" s="357">
        <f t="shared" ca="1" si="406"/>
        <v>1009.1410216216584</v>
      </c>
      <c r="M910" s="359">
        <f t="shared" ca="1" si="422"/>
        <v>-1.4343715967705934</v>
      </c>
      <c r="N910" s="357">
        <f t="shared" ca="1" si="423"/>
        <v>-82.183438748395744</v>
      </c>
      <c r="O910" s="343"/>
      <c r="P910" s="363">
        <f t="shared" ca="1" si="424"/>
        <v>23</v>
      </c>
      <c r="Q910" s="357">
        <f t="shared" ca="1" si="425"/>
        <v>0</v>
      </c>
      <c r="R910" s="359">
        <f t="shared" ca="1" si="426"/>
        <v>0</v>
      </c>
      <c r="S910" s="360">
        <f t="shared" ca="1" si="427"/>
        <v>8.6519999999999992</v>
      </c>
      <c r="T910" s="357">
        <f t="shared" ca="1" si="407"/>
        <v>84.87612</v>
      </c>
      <c r="U910" s="364">
        <f t="shared" ca="1" si="408"/>
        <v>0</v>
      </c>
      <c r="V910" s="359">
        <f t="shared" ca="1" si="409"/>
        <v>1.2266606440881309</v>
      </c>
      <c r="W910" s="357">
        <f t="shared" ca="1" si="410"/>
        <v>52.478904645597282</v>
      </c>
      <c r="X910" s="343"/>
      <c r="Y910" s="367" t="str">
        <f t="shared" ca="1" si="428"/>
        <v/>
      </c>
      <c r="Z910" s="368" t="str">
        <f t="shared" ca="1" si="429"/>
        <v/>
      </c>
      <c r="AA910" s="369" t="str">
        <f t="shared" ca="1" si="430"/>
        <v/>
      </c>
      <c r="AB910" s="344"/>
      <c r="AC910" s="363" t="e">
        <f t="shared" ca="1" si="431"/>
        <v>#N/A</v>
      </c>
      <c r="AD910" s="376" t="e">
        <f t="shared" ca="1" si="432"/>
        <v>#N/A</v>
      </c>
      <c r="AE910" s="377" t="e">
        <f t="shared" ca="1" si="411"/>
        <v>#N/A</v>
      </c>
      <c r="AF910" s="344"/>
      <c r="AG910" s="359">
        <f t="shared" ca="1" si="433"/>
        <v>3.6533673225560648</v>
      </c>
      <c r="AH910" s="357">
        <f t="shared" ca="1" si="434"/>
        <v>-6.0654824614296352</v>
      </c>
    </row>
    <row r="911" spans="1:34" x14ac:dyDescent="0.25">
      <c r="A911" s="402">
        <f t="shared" ca="1" si="412"/>
        <v>1E-4</v>
      </c>
      <c r="B911" s="357">
        <f t="shared" ca="1" si="413"/>
        <v>35.619100000000827</v>
      </c>
      <c r="C911" s="342"/>
      <c r="D911" s="359">
        <f t="shared" ca="1" si="414"/>
        <v>-0.82492289450750933</v>
      </c>
      <c r="E911" s="360">
        <f t="shared" ca="1" si="415"/>
        <v>-3.8008344181289537</v>
      </c>
      <c r="F911" s="357">
        <f t="shared" ca="1" si="416"/>
        <v>3.8893238558798764</v>
      </c>
      <c r="G911" s="359">
        <f t="shared" ca="1" si="417"/>
        <v>18.697500177049978</v>
      </c>
      <c r="H911" s="360">
        <f t="shared" ca="1" si="418"/>
        <v>-136.20325551443798</v>
      </c>
      <c r="I911" s="357">
        <f t="shared" ca="1" si="419"/>
        <v>137.48062891041073</v>
      </c>
      <c r="J911" s="359">
        <f t="shared" ca="1" si="420"/>
        <v>1009.0500868209435</v>
      </c>
      <c r="K911" s="360">
        <f t="shared" ca="1" si="421"/>
        <v>-13.560716166941617</v>
      </c>
      <c r="L911" s="357">
        <f t="shared" ca="1" si="406"/>
        <v>1009.1412045577736</v>
      </c>
      <c r="M911" s="359">
        <f t="shared" ca="1" si="422"/>
        <v>-1.4343725672193395</v>
      </c>
      <c r="N911" s="357">
        <f t="shared" ca="1" si="423"/>
        <v>-82.183494351013124</v>
      </c>
      <c r="O911" s="343"/>
      <c r="P911" s="363">
        <f t="shared" ca="1" si="424"/>
        <v>23</v>
      </c>
      <c r="Q911" s="357">
        <f t="shared" ca="1" si="425"/>
        <v>0</v>
      </c>
      <c r="R911" s="359">
        <f t="shared" ca="1" si="426"/>
        <v>0</v>
      </c>
      <c r="S911" s="360">
        <f t="shared" ca="1" si="427"/>
        <v>8.6519999999999992</v>
      </c>
      <c r="T911" s="357">
        <f t="shared" ca="1" si="407"/>
        <v>84.87612</v>
      </c>
      <c r="U911" s="364">
        <f t="shared" ca="1" si="408"/>
        <v>0</v>
      </c>
      <c r="V911" s="359">
        <f t="shared" ca="1" si="409"/>
        <v>1.2266623148394364</v>
      </c>
      <c r="W911" s="357">
        <f t="shared" ca="1" si="410"/>
        <v>52.479255033710267</v>
      </c>
      <c r="X911" s="343"/>
      <c r="Y911" s="367" t="str">
        <f t="shared" ca="1" si="428"/>
        <v/>
      </c>
      <c r="Z911" s="368" t="str">
        <f t="shared" ca="1" si="429"/>
        <v/>
      </c>
      <c r="AA911" s="369" t="str">
        <f t="shared" ca="1" si="430"/>
        <v/>
      </c>
      <c r="AB911" s="344"/>
      <c r="AC911" s="363" t="e">
        <f t="shared" ca="1" si="431"/>
        <v>#N/A</v>
      </c>
      <c r="AD911" s="376" t="e">
        <f t="shared" ca="1" si="432"/>
        <v>#N/A</v>
      </c>
      <c r="AE911" s="377" t="e">
        <f t="shared" ca="1" si="411"/>
        <v>#N/A</v>
      </c>
      <c r="AF911" s="344"/>
      <c r="AG911" s="359">
        <f t="shared" ca="1" si="433"/>
        <v>3.6533281192548648</v>
      </c>
      <c r="AH911" s="357">
        <f t="shared" ca="1" si="434"/>
        <v>-6.0655229595003801</v>
      </c>
    </row>
    <row r="912" spans="1:34" x14ac:dyDescent="0.25">
      <c r="A912" s="402">
        <f t="shared" ca="1" si="412"/>
        <v>1E-4</v>
      </c>
      <c r="B912" s="357">
        <f t="shared" ca="1" si="413"/>
        <v>35.619200000000831</v>
      </c>
      <c r="C912" s="342"/>
      <c r="D912" s="359">
        <f t="shared" ca="1" si="414"/>
        <v>-0.82492257067841546</v>
      </c>
      <c r="E912" s="360">
        <f t="shared" ca="1" si="415"/>
        <v>-3.8007934959321119</v>
      </c>
      <c r="F912" s="357">
        <f t="shared" ca="1" si="416"/>
        <v>3.8892837960650968</v>
      </c>
      <c r="G912" s="359">
        <f t="shared" ca="1" si="417"/>
        <v>18.69741768479291</v>
      </c>
      <c r="H912" s="360">
        <f t="shared" ca="1" si="418"/>
        <v>-136.20363559378757</v>
      </c>
      <c r="I912" s="357">
        <f t="shared" ca="1" si="419"/>
        <v>137.48099423936708</v>
      </c>
      <c r="J912" s="359">
        <f t="shared" ca="1" si="420"/>
        <v>1009.0500868209435</v>
      </c>
      <c r="K912" s="360">
        <f t="shared" ca="1" si="421"/>
        <v>-13.574336511497028</v>
      </c>
      <c r="L912" s="357">
        <f t="shared" ca="1" si="406"/>
        <v>1009.141387678199</v>
      </c>
      <c r="M912" s="359">
        <f t="shared" ca="1" si="422"/>
        <v>-1.4343735376586464</v>
      </c>
      <c r="N912" s="357">
        <f t="shared" ca="1" si="423"/>
        <v>-82.183549953089681</v>
      </c>
      <c r="O912" s="343"/>
      <c r="P912" s="363">
        <f t="shared" ca="1" si="424"/>
        <v>23</v>
      </c>
      <c r="Q912" s="357">
        <f t="shared" ca="1" si="425"/>
        <v>0</v>
      </c>
      <c r="R912" s="359">
        <f t="shared" ca="1" si="426"/>
        <v>0</v>
      </c>
      <c r="S912" s="360">
        <f t="shared" ca="1" si="427"/>
        <v>8.6519999999999992</v>
      </c>
      <c r="T912" s="357">
        <f t="shared" ca="1" si="407"/>
        <v>84.87612</v>
      </c>
      <c r="U912" s="364">
        <f t="shared" ca="1" si="408"/>
        <v>0</v>
      </c>
      <c r="V912" s="359">
        <f t="shared" ca="1" si="409"/>
        <v>1.2266639855976811</v>
      </c>
      <c r="W912" s="357">
        <f t="shared" ca="1" si="410"/>
        <v>52.479605420628097</v>
      </c>
      <c r="X912" s="343"/>
      <c r="Y912" s="367" t="str">
        <f t="shared" ca="1" si="428"/>
        <v/>
      </c>
      <c r="Z912" s="368" t="str">
        <f t="shared" ca="1" si="429"/>
        <v/>
      </c>
      <c r="AA912" s="369" t="str">
        <f t="shared" ca="1" si="430"/>
        <v/>
      </c>
      <c r="AB912" s="344"/>
      <c r="AC912" s="363" t="e">
        <f t="shared" ca="1" si="431"/>
        <v>#N/A</v>
      </c>
      <c r="AD912" s="376" t="e">
        <f t="shared" ca="1" si="432"/>
        <v>#N/A</v>
      </c>
      <c r="AE912" s="377" t="e">
        <f t="shared" ca="1" si="411"/>
        <v>#N/A</v>
      </c>
      <c r="AF912" s="344"/>
      <c r="AG912" s="359">
        <f t="shared" ca="1" si="433"/>
        <v>3.6532889160700508</v>
      </c>
      <c r="AH912" s="357">
        <f t="shared" ca="1" si="434"/>
        <v>-6.0655634574329946</v>
      </c>
    </row>
    <row r="913" spans="1:34" x14ac:dyDescent="0.25">
      <c r="A913" s="402">
        <f t="shared" ca="1" si="412"/>
        <v>1E-4</v>
      </c>
      <c r="B913" s="357">
        <f t="shared" ca="1" si="413"/>
        <v>35.619300000000834</v>
      </c>
      <c r="C913" s="342"/>
      <c r="D913" s="359">
        <f t="shared" ca="1" si="414"/>
        <v>-0.82492224680860837</v>
      </c>
      <c r="E913" s="360">
        <f t="shared" ca="1" si="415"/>
        <v>-3.8007525738748784</v>
      </c>
      <c r="F913" s="357">
        <f t="shared" ca="1" si="416"/>
        <v>3.889243736396097</v>
      </c>
      <c r="G913" s="359">
        <f t="shared" ca="1" si="417"/>
        <v>18.697335192568229</v>
      </c>
      <c r="H913" s="360">
        <f t="shared" ca="1" si="418"/>
        <v>-136.20401566904496</v>
      </c>
      <c r="I913" s="357">
        <f t="shared" ca="1" si="419"/>
        <v>137.48135956440311</v>
      </c>
      <c r="J913" s="359">
        <f t="shared" ca="1" si="420"/>
        <v>1009.0500868209435</v>
      </c>
      <c r="K913" s="360">
        <f t="shared" ca="1" si="421"/>
        <v>-13.58795689406017</v>
      </c>
      <c r="L913" s="357">
        <f t="shared" ca="1" si="406"/>
        <v>1009.1415709829363</v>
      </c>
      <c r="M913" s="359">
        <f t="shared" ca="1" si="422"/>
        <v>-1.4343745080885144</v>
      </c>
      <c r="N913" s="357">
        <f t="shared" ca="1" si="423"/>
        <v>-82.183605554625444</v>
      </c>
      <c r="O913" s="343"/>
      <c r="P913" s="363">
        <f t="shared" ca="1" si="424"/>
        <v>23</v>
      </c>
      <c r="Q913" s="357">
        <f t="shared" ca="1" si="425"/>
        <v>0</v>
      </c>
      <c r="R913" s="359">
        <f t="shared" ca="1" si="426"/>
        <v>0</v>
      </c>
      <c r="S913" s="360">
        <f t="shared" ca="1" si="427"/>
        <v>8.6519999999999992</v>
      </c>
      <c r="T913" s="357">
        <f t="shared" ca="1" si="407"/>
        <v>84.87612</v>
      </c>
      <c r="U913" s="364">
        <f t="shared" ca="1" si="408"/>
        <v>0</v>
      </c>
      <c r="V913" s="359">
        <f t="shared" ca="1" si="409"/>
        <v>1.2266656563628657</v>
      </c>
      <c r="W913" s="357">
        <f t="shared" ca="1" si="410"/>
        <v>52.479955806350794</v>
      </c>
      <c r="X913" s="343"/>
      <c r="Y913" s="367" t="str">
        <f t="shared" ca="1" si="428"/>
        <v/>
      </c>
      <c r="Z913" s="368" t="str">
        <f t="shared" ca="1" si="429"/>
        <v/>
      </c>
      <c r="AA913" s="369" t="str">
        <f t="shared" ca="1" si="430"/>
        <v/>
      </c>
      <c r="AB913" s="344"/>
      <c r="AC913" s="363" t="e">
        <f t="shared" ca="1" si="431"/>
        <v>#N/A</v>
      </c>
      <c r="AD913" s="376" t="e">
        <f t="shared" ca="1" si="432"/>
        <v>#N/A</v>
      </c>
      <c r="AE913" s="377" t="e">
        <f t="shared" ca="1" si="411"/>
        <v>#N/A</v>
      </c>
      <c r="AF913" s="344"/>
      <c r="AG913" s="359">
        <f t="shared" ca="1" si="433"/>
        <v>3.6532497130016246</v>
      </c>
      <c r="AH913" s="357">
        <f t="shared" ca="1" si="434"/>
        <v>-6.0656039552274734</v>
      </c>
    </row>
    <row r="914" spans="1:34" x14ac:dyDescent="0.25">
      <c r="A914" s="402">
        <f t="shared" ca="1" si="412"/>
        <v>1E-4</v>
      </c>
      <c r="B914" s="357">
        <f t="shared" ca="1" si="413"/>
        <v>35.619400000000837</v>
      </c>
      <c r="C914" s="342"/>
      <c r="D914" s="359">
        <f t="shared" ca="1" si="414"/>
        <v>-0.8249219228980883</v>
      </c>
      <c r="E914" s="360">
        <f t="shared" ca="1" si="415"/>
        <v>-3.8007116519572515</v>
      </c>
      <c r="F914" s="357">
        <f t="shared" ca="1" si="416"/>
        <v>3.8892036768728762</v>
      </c>
      <c r="G914" s="359">
        <f t="shared" ca="1" si="417"/>
        <v>18.697252700375937</v>
      </c>
      <c r="H914" s="360">
        <f t="shared" ca="1" si="418"/>
        <v>-136.20439574021015</v>
      </c>
      <c r="I914" s="357">
        <f t="shared" ca="1" si="419"/>
        <v>137.48172488551884</v>
      </c>
      <c r="J914" s="359">
        <f t="shared" ca="1" si="420"/>
        <v>1009.0500868209435</v>
      </c>
      <c r="K914" s="360">
        <f t="shared" ca="1" si="421"/>
        <v>-13.601577314630633</v>
      </c>
      <c r="L914" s="357">
        <f t="shared" ca="1" si="406"/>
        <v>1009.1417544719867</v>
      </c>
      <c r="M914" s="359">
        <f t="shared" ca="1" si="422"/>
        <v>-1.4343754785089435</v>
      </c>
      <c r="N914" s="357">
        <f t="shared" ca="1" si="423"/>
        <v>-82.183661155620385</v>
      </c>
      <c r="O914" s="343"/>
      <c r="P914" s="363">
        <f t="shared" ca="1" si="424"/>
        <v>23</v>
      </c>
      <c r="Q914" s="357">
        <f t="shared" ca="1" si="425"/>
        <v>0</v>
      </c>
      <c r="R914" s="359">
        <f t="shared" ca="1" si="426"/>
        <v>0</v>
      </c>
      <c r="S914" s="360">
        <f t="shared" ca="1" si="427"/>
        <v>8.6519999999999992</v>
      </c>
      <c r="T914" s="357">
        <f t="shared" ca="1" si="407"/>
        <v>84.87612</v>
      </c>
      <c r="U914" s="364">
        <f t="shared" ca="1" si="408"/>
        <v>0</v>
      </c>
      <c r="V914" s="359">
        <f t="shared" ca="1" si="409"/>
        <v>1.2266673271349893</v>
      </c>
      <c r="W914" s="357">
        <f t="shared" ca="1" si="410"/>
        <v>52.480306190878302</v>
      </c>
      <c r="X914" s="343"/>
      <c r="Y914" s="367" t="str">
        <f t="shared" ca="1" si="428"/>
        <v/>
      </c>
      <c r="Z914" s="368" t="str">
        <f t="shared" ca="1" si="429"/>
        <v/>
      </c>
      <c r="AA914" s="369" t="str">
        <f t="shared" ca="1" si="430"/>
        <v/>
      </c>
      <c r="AB914" s="344"/>
      <c r="AC914" s="363" t="e">
        <f t="shared" ca="1" si="431"/>
        <v>#N/A</v>
      </c>
      <c r="AD914" s="376" t="e">
        <f t="shared" ca="1" si="432"/>
        <v>#N/A</v>
      </c>
      <c r="AE914" s="377" t="e">
        <f t="shared" ca="1" si="411"/>
        <v>#N/A</v>
      </c>
      <c r="AF914" s="344"/>
      <c r="AG914" s="359">
        <f t="shared" ca="1" si="433"/>
        <v>3.6532105100495862</v>
      </c>
      <c r="AH914" s="357">
        <f t="shared" ca="1" si="434"/>
        <v>-6.0656444528838183</v>
      </c>
    </row>
    <row r="915" spans="1:34" x14ac:dyDescent="0.25">
      <c r="A915" s="402">
        <f t="shared" ca="1" si="412"/>
        <v>1E-4</v>
      </c>
      <c r="B915" s="357">
        <f t="shared" ca="1" si="413"/>
        <v>35.619500000000841</v>
      </c>
      <c r="C915" s="342"/>
      <c r="D915" s="359">
        <f t="shared" ca="1" si="414"/>
        <v>-0.82492159894685602</v>
      </c>
      <c r="E915" s="360">
        <f t="shared" ca="1" si="415"/>
        <v>-3.8006707301792355</v>
      </c>
      <c r="F915" s="357">
        <f t="shared" ca="1" si="416"/>
        <v>3.8891636174954378</v>
      </c>
      <c r="G915" s="359">
        <f t="shared" ca="1" si="417"/>
        <v>18.697170208216043</v>
      </c>
      <c r="H915" s="360">
        <f t="shared" ca="1" si="418"/>
        <v>-136.20477580728317</v>
      </c>
      <c r="I915" s="357">
        <f t="shared" ca="1" si="419"/>
        <v>137.48209020271429</v>
      </c>
      <c r="J915" s="359">
        <f t="shared" ca="1" si="420"/>
        <v>1009.0500868209435</v>
      </c>
      <c r="K915" s="360">
        <f t="shared" ca="1" si="421"/>
        <v>-13.615197773208008</v>
      </c>
      <c r="L915" s="357">
        <f t="shared" ca="1" si="406"/>
        <v>1009.1419381453519</v>
      </c>
      <c r="M915" s="359">
        <f t="shared" ca="1" si="422"/>
        <v>-1.434376448919934</v>
      </c>
      <c r="N915" s="357">
        <f t="shared" ca="1" si="423"/>
        <v>-82.183716756074531</v>
      </c>
      <c r="O915" s="343"/>
      <c r="P915" s="363">
        <f t="shared" ca="1" si="424"/>
        <v>23</v>
      </c>
      <c r="Q915" s="357">
        <f t="shared" ca="1" si="425"/>
        <v>0</v>
      </c>
      <c r="R915" s="359">
        <f t="shared" ca="1" si="426"/>
        <v>0</v>
      </c>
      <c r="S915" s="360">
        <f t="shared" ca="1" si="427"/>
        <v>8.6519999999999992</v>
      </c>
      <c r="T915" s="357">
        <f t="shared" ca="1" si="407"/>
        <v>84.87612</v>
      </c>
      <c r="U915" s="364">
        <f t="shared" ca="1" si="408"/>
        <v>0</v>
      </c>
      <c r="V915" s="359">
        <f t="shared" ca="1" si="409"/>
        <v>1.2266689979140522</v>
      </c>
      <c r="W915" s="357">
        <f t="shared" ca="1" si="410"/>
        <v>52.480656574210606</v>
      </c>
      <c r="X915" s="343"/>
      <c r="Y915" s="367" t="str">
        <f t="shared" ca="1" si="428"/>
        <v/>
      </c>
      <c r="Z915" s="368" t="str">
        <f t="shared" ca="1" si="429"/>
        <v/>
      </c>
      <c r="AA915" s="369" t="str">
        <f t="shared" ca="1" si="430"/>
        <v/>
      </c>
      <c r="AB915" s="344"/>
      <c r="AC915" s="363" t="e">
        <f t="shared" ca="1" si="431"/>
        <v>#N/A</v>
      </c>
      <c r="AD915" s="376" t="e">
        <f t="shared" ca="1" si="432"/>
        <v>#N/A</v>
      </c>
      <c r="AE915" s="377" t="e">
        <f t="shared" ca="1" si="411"/>
        <v>#N/A</v>
      </c>
      <c r="AF915" s="344"/>
      <c r="AG915" s="359">
        <f t="shared" ca="1" si="433"/>
        <v>3.6531713072139445</v>
      </c>
      <c r="AH915" s="357">
        <f t="shared" ca="1" si="434"/>
        <v>-6.0656849504020238</v>
      </c>
    </row>
    <row r="916" spans="1:34" x14ac:dyDescent="0.25">
      <c r="A916" s="402">
        <f t="shared" ca="1" si="412"/>
        <v>1E-4</v>
      </c>
      <c r="B916" s="357">
        <f t="shared" ca="1" si="413"/>
        <v>35.619600000000844</v>
      </c>
      <c r="C916" s="342"/>
      <c r="D916" s="359">
        <f t="shared" ca="1" si="414"/>
        <v>-0.82492127495491141</v>
      </c>
      <c r="E916" s="360">
        <f t="shared" ca="1" si="415"/>
        <v>-3.8006298085408359</v>
      </c>
      <c r="F916" s="357">
        <f t="shared" ca="1" si="416"/>
        <v>3.8891235582637877</v>
      </c>
      <c r="G916" s="359">
        <f t="shared" ca="1" si="417"/>
        <v>18.697087716088546</v>
      </c>
      <c r="H916" s="360">
        <f t="shared" ca="1" si="418"/>
        <v>-136.20515587026404</v>
      </c>
      <c r="I916" s="357">
        <f t="shared" ca="1" si="419"/>
        <v>137.4824555159895</v>
      </c>
      <c r="J916" s="359">
        <f t="shared" ca="1" si="420"/>
        <v>1009.0500868209435</v>
      </c>
      <c r="K916" s="360">
        <f t="shared" ca="1" si="421"/>
        <v>-13.628818269791886</v>
      </c>
      <c r="L916" s="357">
        <f t="shared" ca="1" si="406"/>
        <v>1009.1421220030331</v>
      </c>
      <c r="M916" s="359">
        <f t="shared" ca="1" si="422"/>
        <v>-1.434377419321486</v>
      </c>
      <c r="N916" s="357">
        <f t="shared" ca="1" si="423"/>
        <v>-82.183772355987884</v>
      </c>
      <c r="O916" s="343"/>
      <c r="P916" s="363">
        <f t="shared" ca="1" si="424"/>
        <v>23</v>
      </c>
      <c r="Q916" s="357">
        <f t="shared" ca="1" si="425"/>
        <v>0</v>
      </c>
      <c r="R916" s="359">
        <f t="shared" ca="1" si="426"/>
        <v>0</v>
      </c>
      <c r="S916" s="360">
        <f t="shared" ca="1" si="427"/>
        <v>8.6519999999999992</v>
      </c>
      <c r="T916" s="357">
        <f t="shared" ca="1" si="407"/>
        <v>84.87612</v>
      </c>
      <c r="U916" s="364">
        <f t="shared" ca="1" si="408"/>
        <v>0</v>
      </c>
      <c r="V916" s="359">
        <f t="shared" ca="1" si="409"/>
        <v>1.226670668700055</v>
      </c>
      <c r="W916" s="357">
        <f t="shared" ca="1" si="410"/>
        <v>52.481006956347741</v>
      </c>
      <c r="X916" s="343"/>
      <c r="Y916" s="367" t="str">
        <f t="shared" ca="1" si="428"/>
        <v/>
      </c>
      <c r="Z916" s="368" t="str">
        <f t="shared" ca="1" si="429"/>
        <v/>
      </c>
      <c r="AA916" s="369" t="str">
        <f t="shared" ca="1" si="430"/>
        <v/>
      </c>
      <c r="AB916" s="344"/>
      <c r="AC916" s="363" t="e">
        <f t="shared" ca="1" si="431"/>
        <v>#N/A</v>
      </c>
      <c r="AD916" s="376" t="e">
        <f t="shared" ca="1" si="432"/>
        <v>#N/A</v>
      </c>
      <c r="AE916" s="377" t="e">
        <f t="shared" ca="1" si="411"/>
        <v>#N/A</v>
      </c>
      <c r="AF916" s="344"/>
      <c r="AG916" s="359">
        <f t="shared" ca="1" si="433"/>
        <v>3.6531321044946976</v>
      </c>
      <c r="AH916" s="357">
        <f t="shared" ca="1" si="434"/>
        <v>-6.0657254477820866</v>
      </c>
    </row>
    <row r="917" spans="1:34" x14ac:dyDescent="0.25">
      <c r="A917" s="402">
        <f t="shared" ca="1" si="412"/>
        <v>1E-4</v>
      </c>
      <c r="B917" s="357">
        <f t="shared" ca="1" si="413"/>
        <v>35.619700000000847</v>
      </c>
      <c r="C917" s="342"/>
      <c r="D917" s="359">
        <f t="shared" ca="1" si="414"/>
        <v>-0.82492095092225537</v>
      </c>
      <c r="E917" s="360">
        <f t="shared" ca="1" si="415"/>
        <v>-3.8005888870420463</v>
      </c>
      <c r="F917" s="357">
        <f t="shared" ca="1" si="416"/>
        <v>3.8890834991779206</v>
      </c>
      <c r="G917" s="359">
        <f t="shared" ca="1" si="417"/>
        <v>18.697005223993454</v>
      </c>
      <c r="H917" s="360">
        <f t="shared" ca="1" si="418"/>
        <v>-136.20553592915275</v>
      </c>
      <c r="I917" s="357">
        <f t="shared" ca="1" si="419"/>
        <v>137.48282082534442</v>
      </c>
      <c r="J917" s="359">
        <f t="shared" ca="1" si="420"/>
        <v>1009.0500868209435</v>
      </c>
      <c r="K917" s="360">
        <f t="shared" ca="1" si="421"/>
        <v>-13.642438804381856</v>
      </c>
      <c r="L917" s="357">
        <f t="shared" ca="1" si="406"/>
        <v>1009.142306045032</v>
      </c>
      <c r="M917" s="359">
        <f t="shared" ca="1" si="422"/>
        <v>-1.4343783897135995</v>
      </c>
      <c r="N917" s="357">
        <f t="shared" ca="1" si="423"/>
        <v>-82.183827955360471</v>
      </c>
      <c r="O917" s="343"/>
      <c r="P917" s="363">
        <f t="shared" ca="1" si="424"/>
        <v>23</v>
      </c>
      <c r="Q917" s="357">
        <f t="shared" ca="1" si="425"/>
        <v>0</v>
      </c>
      <c r="R917" s="359">
        <f t="shared" ca="1" si="426"/>
        <v>0</v>
      </c>
      <c r="S917" s="360">
        <f t="shared" ca="1" si="427"/>
        <v>8.6519999999999992</v>
      </c>
      <c r="T917" s="357">
        <f t="shared" ca="1" si="407"/>
        <v>84.87612</v>
      </c>
      <c r="U917" s="364">
        <f t="shared" ca="1" si="408"/>
        <v>0</v>
      </c>
      <c r="V917" s="359">
        <f t="shared" ca="1" si="409"/>
        <v>1.2266723394929964</v>
      </c>
      <c r="W917" s="357">
        <f t="shared" ca="1" si="410"/>
        <v>52.481357337289587</v>
      </c>
      <c r="X917" s="343"/>
      <c r="Y917" s="367" t="str">
        <f t="shared" ca="1" si="428"/>
        <v/>
      </c>
      <c r="Z917" s="368" t="str">
        <f t="shared" ca="1" si="429"/>
        <v/>
      </c>
      <c r="AA917" s="369" t="str">
        <f t="shared" ca="1" si="430"/>
        <v/>
      </c>
      <c r="AB917" s="344"/>
      <c r="AC917" s="363" t="e">
        <f t="shared" ca="1" si="431"/>
        <v>#N/A</v>
      </c>
      <c r="AD917" s="376" t="e">
        <f t="shared" ca="1" si="432"/>
        <v>#N/A</v>
      </c>
      <c r="AE917" s="377" t="e">
        <f t="shared" ca="1" si="411"/>
        <v>#N/A</v>
      </c>
      <c r="AF917" s="344"/>
      <c r="AG917" s="359">
        <f t="shared" ca="1" si="433"/>
        <v>3.6530929018918465</v>
      </c>
      <c r="AH917" s="357">
        <f t="shared" ca="1" si="434"/>
        <v>-6.0657659450240109</v>
      </c>
    </row>
    <row r="918" spans="1:34" x14ac:dyDescent="0.25">
      <c r="A918" s="402">
        <f t="shared" ca="1" si="412"/>
        <v>1E-4</v>
      </c>
      <c r="B918" s="357">
        <f t="shared" ca="1" si="413"/>
        <v>35.619800000000851</v>
      </c>
      <c r="C918" s="342"/>
      <c r="D918" s="359">
        <f t="shared" ca="1" si="414"/>
        <v>-0.82492062684888767</v>
      </c>
      <c r="E918" s="360">
        <f t="shared" ca="1" si="415"/>
        <v>-3.8005479656828811</v>
      </c>
      <c r="F918" s="357">
        <f t="shared" ca="1" si="416"/>
        <v>3.8890434402378493</v>
      </c>
      <c r="G918" s="359">
        <f t="shared" ca="1" si="417"/>
        <v>18.696922731930769</v>
      </c>
      <c r="H918" s="360">
        <f t="shared" ca="1" si="418"/>
        <v>-136.20591598394932</v>
      </c>
      <c r="I918" s="357">
        <f t="shared" ca="1" si="419"/>
        <v>137.4831861307791</v>
      </c>
      <c r="J918" s="359">
        <f t="shared" ca="1" si="420"/>
        <v>1009.0500868209435</v>
      </c>
      <c r="K918" s="360">
        <f t="shared" ca="1" si="421"/>
        <v>-13.656059376977511</v>
      </c>
      <c r="L918" s="357">
        <f t="shared" ca="1" si="406"/>
        <v>1009.1424902713497</v>
      </c>
      <c r="M918" s="359">
        <f t="shared" ca="1" si="422"/>
        <v>-1.4343793600962749</v>
      </c>
      <c r="N918" s="357">
        <f t="shared" ca="1" si="423"/>
        <v>-82.183883554192278</v>
      </c>
      <c r="O918" s="343"/>
      <c r="P918" s="363">
        <f t="shared" ca="1" si="424"/>
        <v>23</v>
      </c>
      <c r="Q918" s="357">
        <f t="shared" ca="1" si="425"/>
        <v>0</v>
      </c>
      <c r="R918" s="359">
        <f t="shared" ca="1" si="426"/>
        <v>0</v>
      </c>
      <c r="S918" s="360">
        <f t="shared" ca="1" si="427"/>
        <v>8.6519999999999992</v>
      </c>
      <c r="T918" s="357">
        <f t="shared" ca="1" si="407"/>
        <v>84.87612</v>
      </c>
      <c r="U918" s="364">
        <f t="shared" ca="1" si="408"/>
        <v>0</v>
      </c>
      <c r="V918" s="359">
        <f t="shared" ca="1" si="409"/>
        <v>1.2266740102928779</v>
      </c>
      <c r="W918" s="357">
        <f t="shared" ca="1" si="410"/>
        <v>52.481707717036237</v>
      </c>
      <c r="X918" s="343"/>
      <c r="Y918" s="367" t="str">
        <f t="shared" ca="1" si="428"/>
        <v/>
      </c>
      <c r="Z918" s="368" t="str">
        <f t="shared" ca="1" si="429"/>
        <v/>
      </c>
      <c r="AA918" s="369" t="str">
        <f t="shared" ca="1" si="430"/>
        <v/>
      </c>
      <c r="AB918" s="344"/>
      <c r="AC918" s="363" t="e">
        <f t="shared" ca="1" si="431"/>
        <v>#N/A</v>
      </c>
      <c r="AD918" s="376" t="e">
        <f t="shared" ca="1" si="432"/>
        <v>#N/A</v>
      </c>
      <c r="AE918" s="377" t="e">
        <f t="shared" ca="1" si="411"/>
        <v>#N/A</v>
      </c>
      <c r="AF918" s="344"/>
      <c r="AG918" s="359">
        <f t="shared" ca="1" si="433"/>
        <v>3.6530536994054019</v>
      </c>
      <c r="AH918" s="357">
        <f t="shared" ca="1" si="434"/>
        <v>-6.0658064421277844</v>
      </c>
    </row>
    <row r="919" spans="1:34" x14ac:dyDescent="0.25">
      <c r="A919" s="402">
        <f t="shared" ca="1" si="412"/>
        <v>1E-4</v>
      </c>
      <c r="B919" s="357">
        <f t="shared" ca="1" si="413"/>
        <v>35.619900000000854</v>
      </c>
      <c r="C919" s="342"/>
      <c r="D919" s="359">
        <f t="shared" ca="1" si="414"/>
        <v>-0.82492030273480954</v>
      </c>
      <c r="E919" s="360">
        <f t="shared" ca="1" si="415"/>
        <v>-3.8005070444633287</v>
      </c>
      <c r="F919" s="357">
        <f t="shared" ca="1" si="416"/>
        <v>3.8890033814435641</v>
      </c>
      <c r="G919" s="359">
        <f t="shared" ca="1" si="417"/>
        <v>18.696840239900496</v>
      </c>
      <c r="H919" s="360">
        <f t="shared" ca="1" si="418"/>
        <v>-136.20629603465377</v>
      </c>
      <c r="I919" s="357">
        <f t="shared" ca="1" si="419"/>
        <v>137.48355143229352</v>
      </c>
      <c r="J919" s="359">
        <f t="shared" ca="1" si="420"/>
        <v>1009.0500868209435</v>
      </c>
      <c r="K919" s="360">
        <f t="shared" ca="1" si="421"/>
        <v>-13.669679987578441</v>
      </c>
      <c r="L919" s="357">
        <f t="shared" ca="1" si="406"/>
        <v>1009.142674681988</v>
      </c>
      <c r="M919" s="359">
        <f t="shared" ca="1" si="422"/>
        <v>-1.4343803304695122</v>
      </c>
      <c r="N919" s="357">
        <f t="shared" ca="1" si="423"/>
        <v>-82.183939152483333</v>
      </c>
      <c r="O919" s="343"/>
      <c r="P919" s="363">
        <f t="shared" ca="1" si="424"/>
        <v>23</v>
      </c>
      <c r="Q919" s="357">
        <f t="shared" ca="1" si="425"/>
        <v>0</v>
      </c>
      <c r="R919" s="359">
        <f t="shared" ca="1" si="426"/>
        <v>0</v>
      </c>
      <c r="S919" s="360">
        <f t="shared" ca="1" si="427"/>
        <v>8.6519999999999992</v>
      </c>
      <c r="T919" s="357">
        <f t="shared" ca="1" si="407"/>
        <v>84.87612</v>
      </c>
      <c r="U919" s="364">
        <f t="shared" ca="1" si="408"/>
        <v>0</v>
      </c>
      <c r="V919" s="359">
        <f t="shared" ca="1" si="409"/>
        <v>1.2266756810996982</v>
      </c>
      <c r="W919" s="357">
        <f t="shared" ca="1" si="410"/>
        <v>52.482058095587554</v>
      </c>
      <c r="X919" s="343"/>
      <c r="Y919" s="367" t="str">
        <f t="shared" ca="1" si="428"/>
        <v/>
      </c>
      <c r="Z919" s="368" t="str">
        <f t="shared" ca="1" si="429"/>
        <v/>
      </c>
      <c r="AA919" s="369" t="str">
        <f t="shared" ca="1" si="430"/>
        <v/>
      </c>
      <c r="AB919" s="344"/>
      <c r="AC919" s="363" t="e">
        <f t="shared" ca="1" si="431"/>
        <v>#N/A</v>
      </c>
      <c r="AD919" s="376" t="e">
        <f t="shared" ca="1" si="432"/>
        <v>#N/A</v>
      </c>
      <c r="AE919" s="377" t="e">
        <f t="shared" ca="1" si="411"/>
        <v>#N/A</v>
      </c>
      <c r="AF919" s="344"/>
      <c r="AG919" s="359">
        <f t="shared" ca="1" si="433"/>
        <v>3.653014497035354</v>
      </c>
      <c r="AH919" s="357">
        <f t="shared" ca="1" si="434"/>
        <v>-6.0658469390934169</v>
      </c>
    </row>
    <row r="920" spans="1:34" x14ac:dyDescent="0.25">
      <c r="A920" s="402">
        <f t="shared" ca="1" si="412"/>
        <v>1E-4</v>
      </c>
      <c r="B920" s="357">
        <f t="shared" ca="1" si="413"/>
        <v>35.620000000000857</v>
      </c>
      <c r="C920" s="342"/>
      <c r="D920" s="359">
        <f t="shared" ca="1" si="414"/>
        <v>-0.82491997858001953</v>
      </c>
      <c r="E920" s="360">
        <f t="shared" ca="1" si="415"/>
        <v>-3.8004661233834058</v>
      </c>
      <c r="F920" s="357">
        <f t="shared" ca="1" si="416"/>
        <v>3.8889633227950804</v>
      </c>
      <c r="G920" s="359">
        <f t="shared" ca="1" si="417"/>
        <v>18.696757747902637</v>
      </c>
      <c r="H920" s="360">
        <f t="shared" ca="1" si="418"/>
        <v>-136.20667608126612</v>
      </c>
      <c r="I920" s="357">
        <f t="shared" ca="1" si="419"/>
        <v>137.48391672988777</v>
      </c>
      <c r="J920" s="359">
        <f t="shared" ca="1" si="420"/>
        <v>1009.0500868209435</v>
      </c>
      <c r="K920" s="360">
        <f t="shared" ca="1" si="421"/>
        <v>-13.683300636184237</v>
      </c>
      <c r="L920" s="357">
        <f t="shared" ca="1" si="406"/>
        <v>1009.1428592769479</v>
      </c>
      <c r="M920" s="359">
        <f t="shared" ca="1" si="422"/>
        <v>-1.4343813008333115</v>
      </c>
      <c r="N920" s="357">
        <f t="shared" ca="1" si="423"/>
        <v>-82.183994750233623</v>
      </c>
      <c r="O920" s="343"/>
      <c r="P920" s="363">
        <f t="shared" ca="1" si="424"/>
        <v>23</v>
      </c>
      <c r="Q920" s="357">
        <f t="shared" ca="1" si="425"/>
        <v>0</v>
      </c>
      <c r="R920" s="359">
        <f t="shared" ca="1" si="426"/>
        <v>0</v>
      </c>
      <c r="S920" s="360">
        <f t="shared" ca="1" si="427"/>
        <v>8.6519999999999992</v>
      </c>
      <c r="T920" s="357">
        <f t="shared" ca="1" si="407"/>
        <v>84.87612</v>
      </c>
      <c r="U920" s="364">
        <f t="shared" ca="1" si="408"/>
        <v>0</v>
      </c>
      <c r="V920" s="359">
        <f t="shared" ca="1" si="409"/>
        <v>1.2266773519134579</v>
      </c>
      <c r="W920" s="357">
        <f t="shared" ca="1" si="410"/>
        <v>52.482408472943632</v>
      </c>
      <c r="X920" s="343"/>
      <c r="Y920" s="367" t="str">
        <f t="shared" ca="1" si="428"/>
        <v/>
      </c>
      <c r="Z920" s="368" t="str">
        <f t="shared" ca="1" si="429"/>
        <v/>
      </c>
      <c r="AA920" s="369" t="str">
        <f t="shared" ca="1" si="430"/>
        <v/>
      </c>
      <c r="AB920" s="344"/>
      <c r="AC920" s="363" t="e">
        <f t="shared" ca="1" si="431"/>
        <v>#N/A</v>
      </c>
      <c r="AD920" s="376" t="e">
        <f t="shared" ca="1" si="432"/>
        <v>#N/A</v>
      </c>
      <c r="AE920" s="377" t="e">
        <f t="shared" ca="1" si="411"/>
        <v>#N/A</v>
      </c>
      <c r="AF920" s="344"/>
      <c r="AG920" s="359">
        <f t="shared" ca="1" si="433"/>
        <v>3.6529752947817222</v>
      </c>
      <c r="AH920" s="357">
        <f t="shared" ca="1" si="434"/>
        <v>-6.0658874359208923</v>
      </c>
    </row>
    <row r="921" spans="1:34" x14ac:dyDescent="0.25">
      <c r="A921" s="402">
        <f t="shared" ca="1" si="412"/>
        <v>1E-4</v>
      </c>
      <c r="B921" s="357">
        <f t="shared" ca="1" si="413"/>
        <v>35.620100000000861</v>
      </c>
      <c r="C921" s="342"/>
      <c r="D921" s="359">
        <f t="shared" ca="1" si="414"/>
        <v>-0.82491965438452008</v>
      </c>
      <c r="E921" s="360">
        <f t="shared" ca="1" si="415"/>
        <v>-3.800425202443102</v>
      </c>
      <c r="F921" s="357">
        <f t="shared" ca="1" si="416"/>
        <v>3.888923264292389</v>
      </c>
      <c r="G921" s="359">
        <f t="shared" ca="1" si="417"/>
        <v>18.696675255937198</v>
      </c>
      <c r="H921" s="360">
        <f t="shared" ca="1" si="418"/>
        <v>-136.20705612378637</v>
      </c>
      <c r="I921" s="357">
        <f t="shared" ca="1" si="419"/>
        <v>137.48428202356175</v>
      </c>
      <c r="J921" s="359">
        <f t="shared" ca="1" si="420"/>
        <v>1009.0500868209435</v>
      </c>
      <c r="K921" s="360">
        <f t="shared" ca="1" si="421"/>
        <v>-13.696921322794489</v>
      </c>
      <c r="L921" s="357">
        <f t="shared" ca="1" si="406"/>
        <v>1009.1430440562311</v>
      </c>
      <c r="M921" s="359">
        <f t="shared" ca="1" si="422"/>
        <v>-1.434382271187673</v>
      </c>
      <c r="N921" s="357">
        <f t="shared" ca="1" si="423"/>
        <v>-82.184050347443176</v>
      </c>
      <c r="O921" s="343"/>
      <c r="P921" s="363">
        <f t="shared" ca="1" si="424"/>
        <v>23</v>
      </c>
      <c r="Q921" s="357">
        <f t="shared" ca="1" si="425"/>
        <v>0</v>
      </c>
      <c r="R921" s="359">
        <f t="shared" ca="1" si="426"/>
        <v>0</v>
      </c>
      <c r="S921" s="360">
        <f t="shared" ca="1" si="427"/>
        <v>8.6519999999999992</v>
      </c>
      <c r="T921" s="357">
        <f t="shared" ca="1" si="407"/>
        <v>84.87612</v>
      </c>
      <c r="U921" s="364">
        <f t="shared" ca="1" si="408"/>
        <v>0</v>
      </c>
      <c r="V921" s="359">
        <f t="shared" ca="1" si="409"/>
        <v>1.2266790227341566</v>
      </c>
      <c r="W921" s="357">
        <f t="shared" ca="1" si="410"/>
        <v>52.482758849104336</v>
      </c>
      <c r="X921" s="343"/>
      <c r="Y921" s="367" t="str">
        <f t="shared" ca="1" si="428"/>
        <v/>
      </c>
      <c r="Z921" s="368" t="str">
        <f t="shared" ca="1" si="429"/>
        <v/>
      </c>
      <c r="AA921" s="369" t="str">
        <f t="shared" ca="1" si="430"/>
        <v/>
      </c>
      <c r="AB921" s="344"/>
      <c r="AC921" s="363" t="e">
        <f t="shared" ca="1" si="431"/>
        <v>#N/A</v>
      </c>
      <c r="AD921" s="376" t="e">
        <f t="shared" ca="1" si="432"/>
        <v>#N/A</v>
      </c>
      <c r="AE921" s="377" t="e">
        <f t="shared" ca="1" si="411"/>
        <v>#N/A</v>
      </c>
      <c r="AF921" s="344"/>
      <c r="AG921" s="359">
        <f t="shared" ca="1" si="433"/>
        <v>3.6529360926444907</v>
      </c>
      <c r="AH921" s="357">
        <f t="shared" ca="1" si="434"/>
        <v>-6.0659279326102213</v>
      </c>
    </row>
    <row r="922" spans="1:34" x14ac:dyDescent="0.25">
      <c r="A922" s="402">
        <f t="shared" ca="1" si="412"/>
        <v>1E-4</v>
      </c>
      <c r="B922" s="357">
        <f t="shared" ca="1" si="413"/>
        <v>35.620200000000864</v>
      </c>
      <c r="C922" s="342"/>
      <c r="D922" s="359">
        <f t="shared" ca="1" si="414"/>
        <v>-0.82491933014830998</v>
      </c>
      <c r="E922" s="360">
        <f t="shared" ca="1" si="415"/>
        <v>-3.8003842816424322</v>
      </c>
      <c r="F922" s="357">
        <f t="shared" ca="1" si="416"/>
        <v>3.8888832059355036</v>
      </c>
      <c r="G922" s="359">
        <f t="shared" ca="1" si="417"/>
        <v>18.696592764004183</v>
      </c>
      <c r="H922" s="360">
        <f t="shared" ca="1" si="418"/>
        <v>-136.20743616221455</v>
      </c>
      <c r="I922" s="357">
        <f t="shared" ca="1" si="419"/>
        <v>137.48464731331555</v>
      </c>
      <c r="J922" s="359">
        <f t="shared" ca="1" si="420"/>
        <v>1009.0500868209435</v>
      </c>
      <c r="K922" s="360">
        <f t="shared" ca="1" si="421"/>
        <v>-13.71054204740879</v>
      </c>
      <c r="L922" s="357">
        <f t="shared" ca="1" si="406"/>
        <v>1009.1432290198391</v>
      </c>
      <c r="M922" s="359">
        <f t="shared" ca="1" si="422"/>
        <v>-1.4343832415325968</v>
      </c>
      <c r="N922" s="357">
        <f t="shared" ca="1" si="423"/>
        <v>-82.184105944111977</v>
      </c>
      <c r="O922" s="343"/>
      <c r="P922" s="363">
        <f t="shared" ca="1" si="424"/>
        <v>23</v>
      </c>
      <c r="Q922" s="357">
        <f t="shared" ca="1" si="425"/>
        <v>0</v>
      </c>
      <c r="R922" s="359">
        <f t="shared" ca="1" si="426"/>
        <v>0</v>
      </c>
      <c r="S922" s="360">
        <f t="shared" ca="1" si="427"/>
        <v>8.6519999999999992</v>
      </c>
      <c r="T922" s="357">
        <f t="shared" ca="1" si="407"/>
        <v>84.87612</v>
      </c>
      <c r="U922" s="364">
        <f t="shared" ca="1" si="408"/>
        <v>0</v>
      </c>
      <c r="V922" s="359">
        <f t="shared" ca="1" si="409"/>
        <v>1.2266806935617949</v>
      </c>
      <c r="W922" s="357">
        <f t="shared" ca="1" si="410"/>
        <v>52.483109224069729</v>
      </c>
      <c r="X922" s="343"/>
      <c r="Y922" s="367" t="str">
        <f t="shared" ca="1" si="428"/>
        <v/>
      </c>
      <c r="Z922" s="368" t="str">
        <f t="shared" ca="1" si="429"/>
        <v/>
      </c>
      <c r="AA922" s="369" t="str">
        <f t="shared" ca="1" si="430"/>
        <v/>
      </c>
      <c r="AB922" s="344"/>
      <c r="AC922" s="363" t="e">
        <f t="shared" ca="1" si="431"/>
        <v>#N/A</v>
      </c>
      <c r="AD922" s="376" t="e">
        <f t="shared" ca="1" si="432"/>
        <v>#N/A</v>
      </c>
      <c r="AE922" s="377" t="e">
        <f t="shared" ca="1" si="411"/>
        <v>#N/A</v>
      </c>
      <c r="AF922" s="344"/>
      <c r="AG922" s="359">
        <f t="shared" ca="1" si="433"/>
        <v>3.6528968906236816</v>
      </c>
      <c r="AH922" s="357">
        <f t="shared" ca="1" si="434"/>
        <v>-6.0659684291613889</v>
      </c>
    </row>
    <row r="923" spans="1:34" x14ac:dyDescent="0.25">
      <c r="A923" s="402">
        <f t="shared" ca="1" si="412"/>
        <v>1E-4</v>
      </c>
      <c r="B923" s="357">
        <f t="shared" ca="1" si="413"/>
        <v>35.620300000000867</v>
      </c>
      <c r="C923" s="342"/>
      <c r="D923" s="359">
        <f t="shared" ca="1" si="414"/>
        <v>-0.82491900587139144</v>
      </c>
      <c r="E923" s="360">
        <f t="shared" ca="1" si="415"/>
        <v>-3.8003433609813886</v>
      </c>
      <c r="F923" s="357">
        <f t="shared" ca="1" si="416"/>
        <v>3.8888431477244181</v>
      </c>
      <c r="G923" s="359">
        <f t="shared" ca="1" si="417"/>
        <v>18.696510272103595</v>
      </c>
      <c r="H923" s="360">
        <f t="shared" ca="1" si="418"/>
        <v>-136.20781619655065</v>
      </c>
      <c r="I923" s="357">
        <f t="shared" ca="1" si="419"/>
        <v>137.48501259914914</v>
      </c>
      <c r="J923" s="359">
        <f t="shared" ca="1" si="420"/>
        <v>1009.0500868209435</v>
      </c>
      <c r="K923" s="360">
        <f t="shared" ca="1" si="421"/>
        <v>-13.724162810026728</v>
      </c>
      <c r="L923" s="357">
        <f t="shared" ca="1" si="406"/>
        <v>1009.1434141677731</v>
      </c>
      <c r="M923" s="359">
        <f t="shared" ca="1" si="422"/>
        <v>-1.434384211868083</v>
      </c>
      <c r="N923" s="357">
        <f t="shared" ca="1" si="423"/>
        <v>-82.184161540240041</v>
      </c>
      <c r="O923" s="343"/>
      <c r="P923" s="363">
        <f t="shared" ca="1" si="424"/>
        <v>23</v>
      </c>
      <c r="Q923" s="357">
        <f t="shared" ca="1" si="425"/>
        <v>0</v>
      </c>
      <c r="R923" s="359">
        <f t="shared" ca="1" si="426"/>
        <v>0</v>
      </c>
      <c r="S923" s="360">
        <f t="shared" ca="1" si="427"/>
        <v>8.6519999999999992</v>
      </c>
      <c r="T923" s="357">
        <f t="shared" ca="1" si="407"/>
        <v>84.87612</v>
      </c>
      <c r="U923" s="364">
        <f t="shared" ca="1" si="408"/>
        <v>0</v>
      </c>
      <c r="V923" s="359">
        <f t="shared" ca="1" si="409"/>
        <v>1.2266823643963725</v>
      </c>
      <c r="W923" s="357">
        <f t="shared" ca="1" si="410"/>
        <v>52.483459597839769</v>
      </c>
      <c r="X923" s="343"/>
      <c r="Y923" s="367" t="str">
        <f t="shared" ca="1" si="428"/>
        <v/>
      </c>
      <c r="Z923" s="368" t="str">
        <f t="shared" ca="1" si="429"/>
        <v/>
      </c>
      <c r="AA923" s="369" t="str">
        <f t="shared" ca="1" si="430"/>
        <v/>
      </c>
      <c r="AB923" s="344"/>
      <c r="AC923" s="363" t="e">
        <f t="shared" ca="1" si="431"/>
        <v>#N/A</v>
      </c>
      <c r="AD923" s="376" t="e">
        <f t="shared" ca="1" si="432"/>
        <v>#N/A</v>
      </c>
      <c r="AE923" s="377" t="e">
        <f t="shared" ca="1" si="411"/>
        <v>#N/A</v>
      </c>
      <c r="AF923" s="344"/>
      <c r="AG923" s="359">
        <f t="shared" ca="1" si="433"/>
        <v>3.6528576887192852</v>
      </c>
      <c r="AH923" s="357">
        <f t="shared" ca="1" si="434"/>
        <v>-6.066008925574403</v>
      </c>
    </row>
    <row r="924" spans="1:34" x14ac:dyDescent="0.25">
      <c r="A924" s="402">
        <f t="shared" ca="1" si="412"/>
        <v>1E-4</v>
      </c>
      <c r="B924" s="357">
        <f t="shared" ca="1" si="413"/>
        <v>35.62040000000087</v>
      </c>
      <c r="C924" s="342"/>
      <c r="D924" s="359">
        <f t="shared" ca="1" si="414"/>
        <v>-0.8249186815537638</v>
      </c>
      <c r="E924" s="360">
        <f t="shared" ca="1" si="415"/>
        <v>-3.8003024404599772</v>
      </c>
      <c r="F924" s="357">
        <f t="shared" ca="1" si="416"/>
        <v>3.8888030896591381</v>
      </c>
      <c r="G924" s="359">
        <f t="shared" ca="1" si="417"/>
        <v>18.696427780235439</v>
      </c>
      <c r="H924" s="360">
        <f t="shared" ca="1" si="418"/>
        <v>-136.20819622679471</v>
      </c>
      <c r="I924" s="357">
        <f t="shared" ca="1" si="419"/>
        <v>137.48537788106259</v>
      </c>
      <c r="J924" s="359">
        <f t="shared" ca="1" si="420"/>
        <v>1009.0500868209435</v>
      </c>
      <c r="K924" s="360">
        <f t="shared" ca="1" si="421"/>
        <v>-13.737783610647895</v>
      </c>
      <c r="L924" s="357">
        <f t="shared" ca="1" si="406"/>
        <v>1009.1435995000348</v>
      </c>
      <c r="M924" s="359">
        <f t="shared" ca="1" si="422"/>
        <v>-1.4343851821941318</v>
      </c>
      <c r="N924" s="357">
        <f t="shared" ca="1" si="423"/>
        <v>-82.184217135827396</v>
      </c>
      <c r="O924" s="343"/>
      <c r="P924" s="363">
        <f t="shared" ca="1" si="424"/>
        <v>23</v>
      </c>
      <c r="Q924" s="357">
        <f t="shared" ca="1" si="425"/>
        <v>0</v>
      </c>
      <c r="R924" s="359">
        <f t="shared" ca="1" si="426"/>
        <v>0</v>
      </c>
      <c r="S924" s="360">
        <f t="shared" ca="1" si="427"/>
        <v>8.6519999999999992</v>
      </c>
      <c r="T924" s="357">
        <f t="shared" ca="1" si="407"/>
        <v>84.87612</v>
      </c>
      <c r="U924" s="364">
        <f t="shared" ca="1" si="408"/>
        <v>0</v>
      </c>
      <c r="V924" s="359">
        <f t="shared" ca="1" si="409"/>
        <v>1.2266840352378887</v>
      </c>
      <c r="W924" s="357">
        <f t="shared" ca="1" si="410"/>
        <v>52.48380997041442</v>
      </c>
      <c r="X924" s="343"/>
      <c r="Y924" s="367" t="str">
        <f t="shared" ca="1" si="428"/>
        <v/>
      </c>
      <c r="Z924" s="368" t="str">
        <f t="shared" ca="1" si="429"/>
        <v/>
      </c>
      <c r="AA924" s="369" t="str">
        <f t="shared" ca="1" si="430"/>
        <v/>
      </c>
      <c r="AB924" s="344"/>
      <c r="AC924" s="363" t="e">
        <f t="shared" ca="1" si="431"/>
        <v>#N/A</v>
      </c>
      <c r="AD924" s="376" t="e">
        <f t="shared" ca="1" si="432"/>
        <v>#N/A</v>
      </c>
      <c r="AE924" s="377" t="e">
        <f t="shared" ca="1" si="411"/>
        <v>#N/A</v>
      </c>
      <c r="AF924" s="344"/>
      <c r="AG924" s="359">
        <f t="shared" ca="1" si="433"/>
        <v>3.6528184869313058</v>
      </c>
      <c r="AH924" s="357">
        <f t="shared" ca="1" si="434"/>
        <v>-6.0660494218492573</v>
      </c>
    </row>
    <row r="925" spans="1:34" x14ac:dyDescent="0.25">
      <c r="A925" s="402">
        <f t="shared" ca="1" si="412"/>
        <v>1E-4</v>
      </c>
      <c r="B925" s="357">
        <f t="shared" ca="1" si="413"/>
        <v>35.620500000000874</v>
      </c>
      <c r="C925" s="342"/>
      <c r="D925" s="359">
        <f t="shared" ca="1" si="414"/>
        <v>-0.82491835719542717</v>
      </c>
      <c r="E925" s="360">
        <f t="shared" ca="1" si="415"/>
        <v>-3.8002615200782026</v>
      </c>
      <c r="F925" s="357">
        <f t="shared" ca="1" si="416"/>
        <v>3.8887630317396678</v>
      </c>
      <c r="G925" s="359">
        <f t="shared" ca="1" si="417"/>
        <v>18.696345288399719</v>
      </c>
      <c r="H925" s="360">
        <f t="shared" ca="1" si="418"/>
        <v>-136.20857625294673</v>
      </c>
      <c r="I925" s="357">
        <f t="shared" ca="1" si="419"/>
        <v>137.48574315905583</v>
      </c>
      <c r="J925" s="359">
        <f t="shared" ca="1" si="420"/>
        <v>1009.0500868209435</v>
      </c>
      <c r="K925" s="360">
        <f t="shared" ca="1" si="421"/>
        <v>-13.751404449271883</v>
      </c>
      <c r="L925" s="357">
        <f t="shared" ca="1" si="406"/>
        <v>1009.1437850166254</v>
      </c>
      <c r="M925" s="359">
        <f t="shared" ca="1" si="422"/>
        <v>-1.4343861525107435</v>
      </c>
      <c r="N925" s="357">
        <f t="shared" ca="1" si="423"/>
        <v>-82.184272730874042</v>
      </c>
      <c r="O925" s="343"/>
      <c r="P925" s="363">
        <f t="shared" ca="1" si="424"/>
        <v>23</v>
      </c>
      <c r="Q925" s="357">
        <f t="shared" ca="1" si="425"/>
        <v>0</v>
      </c>
      <c r="R925" s="359">
        <f t="shared" ca="1" si="426"/>
        <v>0</v>
      </c>
      <c r="S925" s="360">
        <f t="shared" ca="1" si="427"/>
        <v>8.6519999999999992</v>
      </c>
      <c r="T925" s="357">
        <f t="shared" ca="1" si="407"/>
        <v>84.87612</v>
      </c>
      <c r="U925" s="364">
        <f t="shared" ca="1" si="408"/>
        <v>0</v>
      </c>
      <c r="V925" s="359">
        <f t="shared" ca="1" si="409"/>
        <v>1.2266857060863448</v>
      </c>
      <c r="W925" s="357">
        <f t="shared" ca="1" si="410"/>
        <v>52.484160341793675</v>
      </c>
      <c r="X925" s="343"/>
      <c r="Y925" s="367" t="str">
        <f t="shared" ca="1" si="428"/>
        <v/>
      </c>
      <c r="Z925" s="368" t="str">
        <f t="shared" ca="1" si="429"/>
        <v/>
      </c>
      <c r="AA925" s="369" t="str">
        <f t="shared" ca="1" si="430"/>
        <v/>
      </c>
      <c r="AB925" s="344"/>
      <c r="AC925" s="363" t="e">
        <f t="shared" ca="1" si="431"/>
        <v>#N/A</v>
      </c>
      <c r="AD925" s="376" t="e">
        <f t="shared" ca="1" si="432"/>
        <v>#N/A</v>
      </c>
      <c r="AE925" s="377" t="e">
        <f t="shared" ca="1" si="411"/>
        <v>#N/A</v>
      </c>
      <c r="AF925" s="344"/>
      <c r="AG925" s="359">
        <f t="shared" ca="1" si="433"/>
        <v>3.6527792852597472</v>
      </c>
      <c r="AH925" s="357">
        <f t="shared" ca="1" si="434"/>
        <v>-6.0660899179859484</v>
      </c>
    </row>
    <row r="926" spans="1:34" x14ac:dyDescent="0.25">
      <c r="A926" s="402">
        <f t="shared" ca="1" si="412"/>
        <v>1E-4</v>
      </c>
      <c r="B926" s="357">
        <f t="shared" ca="1" si="413"/>
        <v>35.620600000000877</v>
      </c>
      <c r="C926" s="342"/>
      <c r="D926" s="359">
        <f t="shared" ca="1" si="414"/>
        <v>-0.82491803279638132</v>
      </c>
      <c r="E926" s="360">
        <f t="shared" ca="1" si="415"/>
        <v>-3.8002205998360639</v>
      </c>
      <c r="F926" s="357">
        <f t="shared" ca="1" si="416"/>
        <v>3.888722973966007</v>
      </c>
      <c r="G926" s="359">
        <f t="shared" ca="1" si="417"/>
        <v>18.696262796596439</v>
      </c>
      <c r="H926" s="360">
        <f t="shared" ca="1" si="418"/>
        <v>-136.2089562750067</v>
      </c>
      <c r="I926" s="357">
        <f t="shared" ca="1" si="419"/>
        <v>137.48610843312892</v>
      </c>
      <c r="J926" s="359">
        <f t="shared" ca="1" si="420"/>
        <v>1009.0500868209435</v>
      </c>
      <c r="K926" s="360">
        <f t="shared" ca="1" si="421"/>
        <v>-13.76502532589828</v>
      </c>
      <c r="L926" s="357">
        <f t="shared" ca="1" si="406"/>
        <v>1009.1439707175465</v>
      </c>
      <c r="M926" s="359">
        <f t="shared" ca="1" si="422"/>
        <v>-1.4343871228179181</v>
      </c>
      <c r="N926" s="357">
        <f t="shared" ca="1" si="423"/>
        <v>-82.184328325379965</v>
      </c>
      <c r="O926" s="343"/>
      <c r="P926" s="363">
        <f t="shared" ca="1" si="424"/>
        <v>23</v>
      </c>
      <c r="Q926" s="357">
        <f t="shared" ca="1" si="425"/>
        <v>0</v>
      </c>
      <c r="R926" s="359">
        <f t="shared" ca="1" si="426"/>
        <v>0</v>
      </c>
      <c r="S926" s="360">
        <f t="shared" ca="1" si="427"/>
        <v>8.6519999999999992</v>
      </c>
      <c r="T926" s="357">
        <f t="shared" ca="1" si="407"/>
        <v>84.87612</v>
      </c>
      <c r="U926" s="364">
        <f t="shared" ca="1" si="408"/>
        <v>0</v>
      </c>
      <c r="V926" s="359">
        <f t="shared" ca="1" si="409"/>
        <v>1.2266873769417395</v>
      </c>
      <c r="W926" s="357">
        <f t="shared" ca="1" si="410"/>
        <v>52.484510711977499</v>
      </c>
      <c r="X926" s="343"/>
      <c r="Y926" s="367" t="str">
        <f t="shared" ca="1" si="428"/>
        <v/>
      </c>
      <c r="Z926" s="368" t="str">
        <f t="shared" ca="1" si="429"/>
        <v/>
      </c>
      <c r="AA926" s="369" t="str">
        <f t="shared" ca="1" si="430"/>
        <v/>
      </c>
      <c r="AB926" s="344"/>
      <c r="AC926" s="363" t="e">
        <f t="shared" ca="1" si="431"/>
        <v>#N/A</v>
      </c>
      <c r="AD926" s="376" t="e">
        <f t="shared" ca="1" si="432"/>
        <v>#N/A</v>
      </c>
      <c r="AE926" s="377" t="e">
        <f t="shared" ca="1" si="411"/>
        <v>#N/A</v>
      </c>
      <c r="AF926" s="344"/>
      <c r="AG926" s="359">
        <f t="shared" ca="1" si="433"/>
        <v>3.6527400837046153</v>
      </c>
      <c r="AH926" s="357">
        <f t="shared" ca="1" si="434"/>
        <v>-6.0661304139844754</v>
      </c>
    </row>
    <row r="927" spans="1:34" x14ac:dyDescent="0.25">
      <c r="A927" s="402">
        <f t="shared" ca="1" si="412"/>
        <v>1E-4</v>
      </c>
      <c r="B927" s="357">
        <f t="shared" ca="1" si="413"/>
        <v>35.62070000000088</v>
      </c>
      <c r="C927" s="342"/>
      <c r="D927" s="359">
        <f t="shared" ca="1" si="414"/>
        <v>-0.82491770835662714</v>
      </c>
      <c r="E927" s="360">
        <f t="shared" ca="1" si="415"/>
        <v>-3.8001796797335663</v>
      </c>
      <c r="F927" s="357">
        <f t="shared" ca="1" si="416"/>
        <v>3.8886829163381602</v>
      </c>
      <c r="G927" s="359">
        <f t="shared" ca="1" si="417"/>
        <v>18.696180304825603</v>
      </c>
      <c r="H927" s="360">
        <f t="shared" ca="1" si="418"/>
        <v>-136.20933629297468</v>
      </c>
      <c r="I927" s="357">
        <f t="shared" ca="1" si="419"/>
        <v>137.48647370328186</v>
      </c>
      <c r="J927" s="359">
        <f t="shared" ca="1" si="420"/>
        <v>1009.0500868209435</v>
      </c>
      <c r="K927" s="360">
        <f t="shared" ca="1" si="421"/>
        <v>-13.77864624052668</v>
      </c>
      <c r="L927" s="357">
        <f t="shared" ca="1" si="406"/>
        <v>1009.1441566027994</v>
      </c>
      <c r="M927" s="359">
        <f t="shared" ca="1" si="422"/>
        <v>-1.4343880931156556</v>
      </c>
      <c r="N927" s="357">
        <f t="shared" ca="1" si="423"/>
        <v>-82.184383919345194</v>
      </c>
      <c r="O927" s="343"/>
      <c r="P927" s="363">
        <f t="shared" ca="1" si="424"/>
        <v>23</v>
      </c>
      <c r="Q927" s="357">
        <f t="shared" ca="1" si="425"/>
        <v>0</v>
      </c>
      <c r="R927" s="359">
        <f t="shared" ca="1" si="426"/>
        <v>0</v>
      </c>
      <c r="S927" s="360">
        <f t="shared" ca="1" si="427"/>
        <v>8.6519999999999992</v>
      </c>
      <c r="T927" s="357">
        <f t="shared" ca="1" si="407"/>
        <v>84.87612</v>
      </c>
      <c r="U927" s="364">
        <f t="shared" ca="1" si="408"/>
        <v>0</v>
      </c>
      <c r="V927" s="359">
        <f t="shared" ca="1" si="409"/>
        <v>1.2266890478040735</v>
      </c>
      <c r="W927" s="357">
        <f t="shared" ca="1" si="410"/>
        <v>52.484861080965892</v>
      </c>
      <c r="X927" s="343"/>
      <c r="Y927" s="367" t="str">
        <f t="shared" ca="1" si="428"/>
        <v/>
      </c>
      <c r="Z927" s="368" t="str">
        <f t="shared" ca="1" si="429"/>
        <v/>
      </c>
      <c r="AA927" s="369" t="str">
        <f t="shared" ca="1" si="430"/>
        <v/>
      </c>
      <c r="AB927" s="344"/>
      <c r="AC927" s="363" t="e">
        <f t="shared" ca="1" si="431"/>
        <v>#N/A</v>
      </c>
      <c r="AD927" s="376" t="e">
        <f t="shared" ca="1" si="432"/>
        <v>#N/A</v>
      </c>
      <c r="AE927" s="377" t="e">
        <f t="shared" ca="1" si="411"/>
        <v>#N/A</v>
      </c>
      <c r="AF927" s="344"/>
      <c r="AG927" s="359">
        <f t="shared" ca="1" si="433"/>
        <v>3.6527008822659113</v>
      </c>
      <c r="AH927" s="357">
        <f t="shared" ca="1" si="434"/>
        <v>-6.0661709098448338</v>
      </c>
    </row>
    <row r="928" spans="1:34" x14ac:dyDescent="0.25">
      <c r="A928" s="402">
        <f t="shared" ca="1" si="412"/>
        <v>1E-4</v>
      </c>
      <c r="B928" s="357">
        <f t="shared" ca="1" si="413"/>
        <v>35.620800000000884</v>
      </c>
      <c r="C928" s="342"/>
      <c r="D928" s="359">
        <f t="shared" ca="1" si="414"/>
        <v>-0.82491738387616653</v>
      </c>
      <c r="E928" s="360">
        <f t="shared" ca="1" si="415"/>
        <v>-3.8001387597707099</v>
      </c>
      <c r="F928" s="357">
        <f t="shared" ca="1" si="416"/>
        <v>3.8886428588561288</v>
      </c>
      <c r="G928" s="359">
        <f t="shared" ca="1" si="417"/>
        <v>18.696097813087217</v>
      </c>
      <c r="H928" s="360">
        <f t="shared" ca="1" si="418"/>
        <v>-136.20971630685065</v>
      </c>
      <c r="I928" s="357">
        <f t="shared" ca="1" si="419"/>
        <v>137.48683896951468</v>
      </c>
      <c r="J928" s="359">
        <f t="shared" ca="1" si="420"/>
        <v>1009.0500868209435</v>
      </c>
      <c r="K928" s="360">
        <f t="shared" ca="1" si="421"/>
        <v>-13.79226719315667</v>
      </c>
      <c r="L928" s="357">
        <f t="shared" ca="1" si="406"/>
        <v>1009.1443426723855</v>
      </c>
      <c r="M928" s="359">
        <f t="shared" ca="1" si="422"/>
        <v>-1.4343890634039564</v>
      </c>
      <c r="N928" s="357">
        <f t="shared" ca="1" si="423"/>
        <v>-82.184439512769742</v>
      </c>
      <c r="O928" s="343"/>
      <c r="P928" s="363">
        <f t="shared" ca="1" si="424"/>
        <v>23</v>
      </c>
      <c r="Q928" s="357">
        <f t="shared" ca="1" si="425"/>
        <v>0</v>
      </c>
      <c r="R928" s="359">
        <f t="shared" ca="1" si="426"/>
        <v>0</v>
      </c>
      <c r="S928" s="360">
        <f t="shared" ca="1" si="427"/>
        <v>8.6519999999999992</v>
      </c>
      <c r="T928" s="357">
        <f t="shared" ca="1" si="407"/>
        <v>84.87612</v>
      </c>
      <c r="U928" s="364">
        <f t="shared" ca="1" si="408"/>
        <v>0</v>
      </c>
      <c r="V928" s="359">
        <f t="shared" ca="1" si="409"/>
        <v>1.2266907186733462</v>
      </c>
      <c r="W928" s="357">
        <f t="shared" ca="1" si="410"/>
        <v>52.485211448758804</v>
      </c>
      <c r="X928" s="343"/>
      <c r="Y928" s="367" t="str">
        <f t="shared" ca="1" si="428"/>
        <v/>
      </c>
      <c r="Z928" s="368" t="str">
        <f t="shared" ca="1" si="429"/>
        <v/>
      </c>
      <c r="AA928" s="369" t="str">
        <f t="shared" ca="1" si="430"/>
        <v/>
      </c>
      <c r="AB928" s="344"/>
      <c r="AC928" s="363" t="e">
        <f t="shared" ca="1" si="431"/>
        <v>#N/A</v>
      </c>
      <c r="AD928" s="376" t="e">
        <f t="shared" ca="1" si="432"/>
        <v>#N/A</v>
      </c>
      <c r="AE928" s="377" t="e">
        <f t="shared" ca="1" si="411"/>
        <v>#N/A</v>
      </c>
      <c r="AF928" s="344"/>
      <c r="AG928" s="359">
        <f t="shared" ca="1" si="433"/>
        <v>3.6526616809436341</v>
      </c>
      <c r="AH928" s="357">
        <f t="shared" ca="1" si="434"/>
        <v>-6.0662114055670244</v>
      </c>
    </row>
    <row r="929" spans="1:34" x14ac:dyDescent="0.25">
      <c r="A929" s="402">
        <f t="shared" ca="1" si="412"/>
        <v>1E-4</v>
      </c>
      <c r="B929" s="357">
        <f t="shared" ca="1" si="413"/>
        <v>35.620900000000887</v>
      </c>
      <c r="C929" s="342"/>
      <c r="D929" s="359">
        <f t="shared" ca="1" si="414"/>
        <v>-0.82491705935499737</v>
      </c>
      <c r="E929" s="360">
        <f t="shared" ca="1" si="415"/>
        <v>-3.8000978399474992</v>
      </c>
      <c r="F929" s="357">
        <f t="shared" ca="1" si="416"/>
        <v>3.8886028015199168</v>
      </c>
      <c r="G929" s="359">
        <f t="shared" ca="1" si="417"/>
        <v>18.696015321381282</v>
      </c>
      <c r="H929" s="360">
        <f t="shared" ca="1" si="418"/>
        <v>-136.21009631663463</v>
      </c>
      <c r="I929" s="357">
        <f t="shared" ca="1" si="419"/>
        <v>137.48720423182735</v>
      </c>
      <c r="J929" s="359">
        <f t="shared" ca="1" si="420"/>
        <v>1009.0500868209435</v>
      </c>
      <c r="K929" s="360">
        <f t="shared" ca="1" si="421"/>
        <v>-13.805888183787845</v>
      </c>
      <c r="L929" s="357">
        <f t="shared" ca="1" si="406"/>
        <v>1009.1445289263064</v>
      </c>
      <c r="M929" s="359">
        <f t="shared" ca="1" si="422"/>
        <v>-1.4343900336828206</v>
      </c>
      <c r="N929" s="357">
        <f t="shared" ca="1" si="423"/>
        <v>-82.18449510565361</v>
      </c>
      <c r="O929" s="343"/>
      <c r="P929" s="363">
        <f t="shared" ca="1" si="424"/>
        <v>23</v>
      </c>
      <c r="Q929" s="357">
        <f t="shared" ca="1" si="425"/>
        <v>0</v>
      </c>
      <c r="R929" s="359">
        <f t="shared" ca="1" si="426"/>
        <v>0</v>
      </c>
      <c r="S929" s="360">
        <f t="shared" ca="1" si="427"/>
        <v>8.6519999999999992</v>
      </c>
      <c r="T929" s="357">
        <f t="shared" ca="1" si="407"/>
        <v>84.87612</v>
      </c>
      <c r="U929" s="364">
        <f t="shared" ca="1" si="408"/>
        <v>0</v>
      </c>
      <c r="V929" s="359">
        <f t="shared" ca="1" si="409"/>
        <v>1.2266923895495585</v>
      </c>
      <c r="W929" s="357">
        <f t="shared" ca="1" si="410"/>
        <v>52.485561815356263</v>
      </c>
      <c r="X929" s="343"/>
      <c r="Y929" s="367" t="str">
        <f t="shared" ca="1" si="428"/>
        <v/>
      </c>
      <c r="Z929" s="368" t="str">
        <f t="shared" ca="1" si="429"/>
        <v/>
      </c>
      <c r="AA929" s="369" t="str">
        <f t="shared" ca="1" si="430"/>
        <v/>
      </c>
      <c r="AB929" s="344"/>
      <c r="AC929" s="363" t="e">
        <f t="shared" ca="1" si="431"/>
        <v>#N/A</v>
      </c>
      <c r="AD929" s="376" t="e">
        <f t="shared" ca="1" si="432"/>
        <v>#N/A</v>
      </c>
      <c r="AE929" s="377" t="e">
        <f t="shared" ca="1" si="411"/>
        <v>#N/A</v>
      </c>
      <c r="AF929" s="344"/>
      <c r="AG929" s="359">
        <f t="shared" ca="1" si="433"/>
        <v>3.6526224797377935</v>
      </c>
      <c r="AH929" s="357">
        <f t="shared" ca="1" si="434"/>
        <v>-6.0662519011510412</v>
      </c>
    </row>
    <row r="930" spans="1:34" x14ac:dyDescent="0.25">
      <c r="A930" s="402">
        <f t="shared" ca="1" si="412"/>
        <v>1E-4</v>
      </c>
      <c r="B930" s="357">
        <f t="shared" ca="1" si="413"/>
        <v>35.62100000000089</v>
      </c>
      <c r="C930" s="342"/>
      <c r="D930" s="359">
        <f t="shared" ca="1" si="414"/>
        <v>-0.82491673479312178</v>
      </c>
      <c r="E930" s="360">
        <f t="shared" ca="1" si="415"/>
        <v>-3.8000569202639323</v>
      </c>
      <c r="F930" s="357">
        <f t="shared" ca="1" si="416"/>
        <v>3.8885627443295228</v>
      </c>
      <c r="G930" s="359">
        <f t="shared" ca="1" si="417"/>
        <v>18.695932829707804</v>
      </c>
      <c r="H930" s="360">
        <f t="shared" ca="1" si="418"/>
        <v>-136.21047632232666</v>
      </c>
      <c r="I930" s="357">
        <f t="shared" ca="1" si="419"/>
        <v>137.48756949021993</v>
      </c>
      <c r="J930" s="359">
        <f t="shared" ca="1" si="420"/>
        <v>1009.0500868209435</v>
      </c>
      <c r="K930" s="360">
        <f t="shared" ca="1" si="421"/>
        <v>-13.819509212419794</v>
      </c>
      <c r="L930" s="357">
        <f t="shared" ca="1" si="406"/>
        <v>1009.1447153645635</v>
      </c>
      <c r="M930" s="359">
        <f t="shared" ca="1" si="422"/>
        <v>-1.4343910039522481</v>
      </c>
      <c r="N930" s="357">
        <f t="shared" ca="1" si="423"/>
        <v>-82.184550697996798</v>
      </c>
      <c r="O930" s="343"/>
      <c r="P930" s="363">
        <f t="shared" ca="1" si="424"/>
        <v>23</v>
      </c>
      <c r="Q930" s="357">
        <f t="shared" ca="1" si="425"/>
        <v>0</v>
      </c>
      <c r="R930" s="359">
        <f t="shared" ca="1" si="426"/>
        <v>0</v>
      </c>
      <c r="S930" s="360">
        <f t="shared" ca="1" si="427"/>
        <v>8.6519999999999992</v>
      </c>
      <c r="T930" s="357">
        <f t="shared" ca="1" si="407"/>
        <v>84.87612</v>
      </c>
      <c r="U930" s="364">
        <f t="shared" ca="1" si="408"/>
        <v>0</v>
      </c>
      <c r="V930" s="359">
        <f t="shared" ca="1" si="409"/>
        <v>1.2266940604327092</v>
      </c>
      <c r="W930" s="357">
        <f t="shared" ca="1" si="410"/>
        <v>52.485912180758177</v>
      </c>
      <c r="X930" s="343"/>
      <c r="Y930" s="367" t="str">
        <f t="shared" ca="1" si="428"/>
        <v/>
      </c>
      <c r="Z930" s="368" t="str">
        <f t="shared" ca="1" si="429"/>
        <v/>
      </c>
      <c r="AA930" s="369" t="str">
        <f t="shared" ca="1" si="430"/>
        <v/>
      </c>
      <c r="AB930" s="344"/>
      <c r="AC930" s="363" t="e">
        <f t="shared" ca="1" si="431"/>
        <v>#N/A</v>
      </c>
      <c r="AD930" s="376" t="e">
        <f t="shared" ca="1" si="432"/>
        <v>#N/A</v>
      </c>
      <c r="AE930" s="377" t="e">
        <f t="shared" ca="1" si="411"/>
        <v>#N/A</v>
      </c>
      <c r="AF930" s="344"/>
      <c r="AG930" s="359">
        <f t="shared" ca="1" si="433"/>
        <v>3.6525832786483843</v>
      </c>
      <c r="AH930" s="357">
        <f t="shared" ca="1" si="434"/>
        <v>-6.0662923965968876</v>
      </c>
    </row>
    <row r="931" spans="1:34" x14ac:dyDescent="0.25">
      <c r="A931" s="402">
        <f t="shared" ca="1" si="412"/>
        <v>1E-4</v>
      </c>
      <c r="B931" s="357">
        <f t="shared" ca="1" si="413"/>
        <v>35.621100000000894</v>
      </c>
      <c r="C931" s="342"/>
      <c r="D931" s="359">
        <f t="shared" ca="1" si="414"/>
        <v>-0.82491641019053963</v>
      </c>
      <c r="E931" s="360">
        <f t="shared" ca="1" si="415"/>
        <v>-3.800016000720019</v>
      </c>
      <c r="F931" s="357">
        <f t="shared" ca="1" si="416"/>
        <v>3.8885226872849556</v>
      </c>
      <c r="G931" s="359">
        <f t="shared" ca="1" si="417"/>
        <v>18.695850338066784</v>
      </c>
      <c r="H931" s="360">
        <f t="shared" ca="1" si="418"/>
        <v>-136.21085632392672</v>
      </c>
      <c r="I931" s="357">
        <f t="shared" ca="1" si="419"/>
        <v>137.48793474469241</v>
      </c>
      <c r="J931" s="359">
        <f t="shared" ca="1" si="420"/>
        <v>1009.0500868209435</v>
      </c>
      <c r="K931" s="360">
        <f t="shared" ca="1" si="421"/>
        <v>-13.833130279052106</v>
      </c>
      <c r="L931" s="357">
        <f t="shared" ca="1" si="406"/>
        <v>1009.1449019871581</v>
      </c>
      <c r="M931" s="359">
        <f t="shared" ca="1" si="422"/>
        <v>-1.4343919742122393</v>
      </c>
      <c r="N931" s="357">
        <f t="shared" ca="1" si="423"/>
        <v>-82.184606289799333</v>
      </c>
      <c r="O931" s="343"/>
      <c r="P931" s="363">
        <f t="shared" ca="1" si="424"/>
        <v>23</v>
      </c>
      <c r="Q931" s="357">
        <f t="shared" ca="1" si="425"/>
        <v>0</v>
      </c>
      <c r="R931" s="359">
        <f t="shared" ca="1" si="426"/>
        <v>0</v>
      </c>
      <c r="S931" s="360">
        <f t="shared" ca="1" si="427"/>
        <v>8.6519999999999992</v>
      </c>
      <c r="T931" s="357">
        <f t="shared" ca="1" si="407"/>
        <v>84.87612</v>
      </c>
      <c r="U931" s="364">
        <f t="shared" ca="1" si="408"/>
        <v>0</v>
      </c>
      <c r="V931" s="359">
        <f t="shared" ca="1" si="409"/>
        <v>1.2266957313227995</v>
      </c>
      <c r="W931" s="357">
        <f t="shared" ca="1" si="410"/>
        <v>52.48626254496461</v>
      </c>
      <c r="X931" s="343"/>
      <c r="Y931" s="367" t="str">
        <f t="shared" ca="1" si="428"/>
        <v/>
      </c>
      <c r="Z931" s="368" t="str">
        <f t="shared" ca="1" si="429"/>
        <v/>
      </c>
      <c r="AA931" s="369" t="str">
        <f t="shared" ca="1" si="430"/>
        <v/>
      </c>
      <c r="AB931" s="344"/>
      <c r="AC931" s="363" t="e">
        <f t="shared" ca="1" si="431"/>
        <v>#N/A</v>
      </c>
      <c r="AD931" s="376" t="e">
        <f t="shared" ca="1" si="432"/>
        <v>#N/A</v>
      </c>
      <c r="AE931" s="377" t="e">
        <f t="shared" ca="1" si="411"/>
        <v>#N/A</v>
      </c>
      <c r="AF931" s="344"/>
      <c r="AG931" s="359">
        <f t="shared" ca="1" si="433"/>
        <v>3.6525440776754197</v>
      </c>
      <c r="AH931" s="357">
        <f t="shared" ca="1" si="434"/>
        <v>-6.066332891904552</v>
      </c>
    </row>
    <row r="932" spans="1:34" x14ac:dyDescent="0.25">
      <c r="A932" s="402">
        <f t="shared" ca="1" si="412"/>
        <v>1E-4</v>
      </c>
      <c r="B932" s="357">
        <f t="shared" ca="1" si="413"/>
        <v>35.621200000000897</v>
      </c>
      <c r="C932" s="342"/>
      <c r="D932" s="359">
        <f t="shared" ca="1" si="414"/>
        <v>-0.82491608554725104</v>
      </c>
      <c r="E932" s="360">
        <f t="shared" ca="1" si="415"/>
        <v>-3.7999750813157531</v>
      </c>
      <c r="F932" s="357">
        <f t="shared" ca="1" si="416"/>
        <v>3.8884826303862106</v>
      </c>
      <c r="G932" s="359">
        <f t="shared" ca="1" si="417"/>
        <v>18.695767846458228</v>
      </c>
      <c r="H932" s="360">
        <f t="shared" ca="1" si="418"/>
        <v>-136.21123632143485</v>
      </c>
      <c r="I932" s="357">
        <f t="shared" ca="1" si="419"/>
        <v>137.48829999524483</v>
      </c>
      <c r="J932" s="359">
        <f t="shared" ca="1" si="420"/>
        <v>1009.0500868209435</v>
      </c>
      <c r="K932" s="360">
        <f t="shared" ca="1" si="421"/>
        <v>-13.846751383684374</v>
      </c>
      <c r="L932" s="357">
        <f t="shared" ca="1" si="406"/>
        <v>1009.1450887940917</v>
      </c>
      <c r="M932" s="359">
        <f t="shared" ca="1" si="422"/>
        <v>-1.4343929444627943</v>
      </c>
      <c r="N932" s="357">
        <f t="shared" ca="1" si="423"/>
        <v>-82.184661881061203</v>
      </c>
      <c r="O932" s="343"/>
      <c r="P932" s="363">
        <f t="shared" ca="1" si="424"/>
        <v>23</v>
      </c>
      <c r="Q932" s="357">
        <f t="shared" ca="1" si="425"/>
        <v>0</v>
      </c>
      <c r="R932" s="359">
        <f t="shared" ca="1" si="426"/>
        <v>0</v>
      </c>
      <c r="S932" s="360">
        <f t="shared" ca="1" si="427"/>
        <v>8.6519999999999992</v>
      </c>
      <c r="T932" s="357">
        <f t="shared" ca="1" si="407"/>
        <v>84.87612</v>
      </c>
      <c r="U932" s="364">
        <f t="shared" ca="1" si="408"/>
        <v>0</v>
      </c>
      <c r="V932" s="359">
        <f t="shared" ca="1" si="409"/>
        <v>1.2266974022198283</v>
      </c>
      <c r="W932" s="357">
        <f t="shared" ca="1" si="410"/>
        <v>52.486612907975498</v>
      </c>
      <c r="X932" s="343"/>
      <c r="Y932" s="367" t="str">
        <f t="shared" ca="1" si="428"/>
        <v/>
      </c>
      <c r="Z932" s="368" t="str">
        <f t="shared" ca="1" si="429"/>
        <v/>
      </c>
      <c r="AA932" s="369" t="str">
        <f t="shared" ca="1" si="430"/>
        <v/>
      </c>
      <c r="AB932" s="344"/>
      <c r="AC932" s="363" t="e">
        <f t="shared" ca="1" si="431"/>
        <v>#N/A</v>
      </c>
      <c r="AD932" s="376" t="e">
        <f t="shared" ca="1" si="432"/>
        <v>#N/A</v>
      </c>
      <c r="AE932" s="377" t="e">
        <f t="shared" ca="1" si="411"/>
        <v>#N/A</v>
      </c>
      <c r="AF932" s="344"/>
      <c r="AG932" s="359">
        <f t="shared" ca="1" si="433"/>
        <v>3.6525048768188917</v>
      </c>
      <c r="AH932" s="357">
        <f t="shared" ca="1" si="434"/>
        <v>-6.0663733870740426</v>
      </c>
    </row>
    <row r="933" spans="1:34" x14ac:dyDescent="0.25">
      <c r="A933" s="402">
        <f t="shared" ca="1" si="412"/>
        <v>1E-4</v>
      </c>
      <c r="B933" s="357">
        <f t="shared" ca="1" si="413"/>
        <v>35.6213000000009</v>
      </c>
      <c r="C933" s="342"/>
      <c r="D933" s="359">
        <f t="shared" ca="1" si="414"/>
        <v>-0.82491576086325624</v>
      </c>
      <c r="E933" s="360">
        <f t="shared" ca="1" si="415"/>
        <v>-3.7999341620511426</v>
      </c>
      <c r="F933" s="357">
        <f t="shared" ca="1" si="416"/>
        <v>3.888442573633295</v>
      </c>
      <c r="G933" s="359">
        <f t="shared" ca="1" si="417"/>
        <v>18.695685354882141</v>
      </c>
      <c r="H933" s="360">
        <f t="shared" ca="1" si="418"/>
        <v>-136.21161631485106</v>
      </c>
      <c r="I933" s="357">
        <f t="shared" ca="1" si="419"/>
        <v>137.48866524187713</v>
      </c>
      <c r="J933" s="359">
        <f t="shared" ca="1" si="420"/>
        <v>1009.0500868209435</v>
      </c>
      <c r="K933" s="360">
        <f t="shared" ca="1" si="421"/>
        <v>-13.860372526316189</v>
      </c>
      <c r="L933" s="357">
        <f t="shared" ca="1" si="406"/>
        <v>1009.1452757853657</v>
      </c>
      <c r="M933" s="359">
        <f t="shared" ca="1" si="422"/>
        <v>-1.4343939147039131</v>
      </c>
      <c r="N933" s="357">
        <f t="shared" ca="1" si="423"/>
        <v>-82.18471747178242</v>
      </c>
      <c r="O933" s="343"/>
      <c r="P933" s="363">
        <f t="shared" ca="1" si="424"/>
        <v>23</v>
      </c>
      <c r="Q933" s="357">
        <f t="shared" ca="1" si="425"/>
        <v>0</v>
      </c>
      <c r="R933" s="359">
        <f t="shared" ca="1" si="426"/>
        <v>0</v>
      </c>
      <c r="S933" s="360">
        <f t="shared" ca="1" si="427"/>
        <v>8.6519999999999992</v>
      </c>
      <c r="T933" s="357">
        <f t="shared" ca="1" si="407"/>
        <v>84.87612</v>
      </c>
      <c r="U933" s="364">
        <f t="shared" ca="1" si="408"/>
        <v>0</v>
      </c>
      <c r="V933" s="359">
        <f t="shared" ca="1" si="409"/>
        <v>1.2266990731237961</v>
      </c>
      <c r="W933" s="357">
        <f t="shared" ca="1" si="410"/>
        <v>52.486963269790799</v>
      </c>
      <c r="X933" s="343"/>
      <c r="Y933" s="367" t="str">
        <f t="shared" ca="1" si="428"/>
        <v/>
      </c>
      <c r="Z933" s="368" t="str">
        <f t="shared" ca="1" si="429"/>
        <v/>
      </c>
      <c r="AA933" s="369" t="str">
        <f t="shared" ca="1" si="430"/>
        <v/>
      </c>
      <c r="AB933" s="344"/>
      <c r="AC933" s="363" t="e">
        <f t="shared" ca="1" si="431"/>
        <v>#N/A</v>
      </c>
      <c r="AD933" s="376" t="e">
        <f t="shared" ca="1" si="432"/>
        <v>#N/A</v>
      </c>
      <c r="AE933" s="377" t="e">
        <f t="shared" ca="1" si="411"/>
        <v>#N/A</v>
      </c>
      <c r="AF933" s="344"/>
      <c r="AG933" s="359">
        <f t="shared" ca="1" si="433"/>
        <v>3.6524656760788083</v>
      </c>
      <c r="AH933" s="357">
        <f t="shared" ca="1" si="434"/>
        <v>-6.0664138821053513</v>
      </c>
    </row>
    <row r="934" spans="1:34" x14ac:dyDescent="0.25">
      <c r="A934" s="402">
        <f t="shared" ca="1" si="412"/>
        <v>1E-4</v>
      </c>
      <c r="B934" s="357">
        <f t="shared" ca="1" si="413"/>
        <v>35.621400000000904</v>
      </c>
      <c r="C934" s="342"/>
      <c r="D934" s="359">
        <f t="shared" ca="1" si="414"/>
        <v>-0.82491543613855656</v>
      </c>
      <c r="E934" s="360">
        <f t="shared" ca="1" si="415"/>
        <v>-3.7998932429261894</v>
      </c>
      <c r="F934" s="357">
        <f t="shared" ca="1" si="416"/>
        <v>3.8884025170262118</v>
      </c>
      <c r="G934" s="359">
        <f t="shared" ca="1" si="417"/>
        <v>18.695602863338525</v>
      </c>
      <c r="H934" s="360">
        <f t="shared" ca="1" si="418"/>
        <v>-136.21199630417536</v>
      </c>
      <c r="I934" s="357">
        <f t="shared" ca="1" si="419"/>
        <v>137.48903048458939</v>
      </c>
      <c r="J934" s="359">
        <f t="shared" ca="1" si="420"/>
        <v>1009.0500868209435</v>
      </c>
      <c r="K934" s="360">
        <f t="shared" ca="1" si="421"/>
        <v>-13.87399370694714</v>
      </c>
      <c r="L934" s="357">
        <f t="shared" ca="1" si="406"/>
        <v>1009.1454629609817</v>
      </c>
      <c r="M934" s="359">
        <f t="shared" ca="1" si="422"/>
        <v>-1.4343948849355961</v>
      </c>
      <c r="N934" s="357">
        <f t="shared" ca="1" si="423"/>
        <v>-82.184773061963</v>
      </c>
      <c r="O934" s="343"/>
      <c r="P934" s="363">
        <f t="shared" ca="1" si="424"/>
        <v>23</v>
      </c>
      <c r="Q934" s="357">
        <f t="shared" ca="1" si="425"/>
        <v>0</v>
      </c>
      <c r="R934" s="359">
        <f t="shared" ca="1" si="426"/>
        <v>0</v>
      </c>
      <c r="S934" s="360">
        <f t="shared" ca="1" si="427"/>
        <v>8.6519999999999992</v>
      </c>
      <c r="T934" s="357">
        <f t="shared" ca="1" si="407"/>
        <v>84.87612</v>
      </c>
      <c r="U934" s="364">
        <f t="shared" ca="1" si="408"/>
        <v>0</v>
      </c>
      <c r="V934" s="359">
        <f t="shared" ca="1" si="409"/>
        <v>1.2267007440347029</v>
      </c>
      <c r="W934" s="357">
        <f t="shared" ca="1" si="410"/>
        <v>52.487313630410519</v>
      </c>
      <c r="X934" s="343"/>
      <c r="Y934" s="367" t="str">
        <f t="shared" ca="1" si="428"/>
        <v/>
      </c>
      <c r="Z934" s="368" t="str">
        <f t="shared" ca="1" si="429"/>
        <v/>
      </c>
      <c r="AA934" s="369" t="str">
        <f t="shared" ca="1" si="430"/>
        <v/>
      </c>
      <c r="AB934" s="344"/>
      <c r="AC934" s="363" t="e">
        <f t="shared" ca="1" si="431"/>
        <v>#N/A</v>
      </c>
      <c r="AD934" s="376" t="e">
        <f t="shared" ca="1" si="432"/>
        <v>#N/A</v>
      </c>
      <c r="AE934" s="377" t="e">
        <f t="shared" ca="1" si="411"/>
        <v>#N/A</v>
      </c>
      <c r="AF934" s="344"/>
      <c r="AG934" s="359">
        <f t="shared" ca="1" si="433"/>
        <v>3.6524264754551732</v>
      </c>
      <c r="AH934" s="357">
        <f t="shared" ca="1" si="434"/>
        <v>-6.0664543769984745</v>
      </c>
    </row>
    <row r="935" spans="1:34" x14ac:dyDescent="0.25">
      <c r="A935" s="402">
        <f t="shared" ca="1" si="412"/>
        <v>1E-4</v>
      </c>
      <c r="B935" s="357">
        <f t="shared" ca="1" si="413"/>
        <v>35.621500000000907</v>
      </c>
      <c r="C935" s="342"/>
      <c r="D935" s="359">
        <f t="shared" ca="1" si="414"/>
        <v>-0.82491511137315077</v>
      </c>
      <c r="E935" s="360">
        <f t="shared" ca="1" si="415"/>
        <v>-3.7998523239408941</v>
      </c>
      <c r="F935" s="357">
        <f t="shared" ca="1" si="416"/>
        <v>3.8883624605649598</v>
      </c>
      <c r="G935" s="359">
        <f t="shared" ca="1" si="417"/>
        <v>18.695520371827389</v>
      </c>
      <c r="H935" s="360">
        <f t="shared" ca="1" si="418"/>
        <v>-136.21237628940776</v>
      </c>
      <c r="I935" s="357">
        <f t="shared" ca="1" si="419"/>
        <v>137.48939572338162</v>
      </c>
      <c r="J935" s="359">
        <f t="shared" ca="1" si="420"/>
        <v>1009.0500868209435</v>
      </c>
      <c r="K935" s="360">
        <f t="shared" ca="1" si="421"/>
        <v>-13.887614925576818</v>
      </c>
      <c r="L935" s="357">
        <f t="shared" ca="1" si="406"/>
        <v>1009.1456503209409</v>
      </c>
      <c r="M935" s="359">
        <f t="shared" ca="1" si="422"/>
        <v>-1.4343958551578433</v>
      </c>
      <c r="N935" s="357">
        <f t="shared" ca="1" si="423"/>
        <v>-82.184828651602956</v>
      </c>
      <c r="O935" s="343"/>
      <c r="P935" s="363">
        <f t="shared" ca="1" si="424"/>
        <v>23</v>
      </c>
      <c r="Q935" s="357">
        <f t="shared" ca="1" si="425"/>
        <v>0</v>
      </c>
      <c r="R935" s="359">
        <f t="shared" ca="1" si="426"/>
        <v>0</v>
      </c>
      <c r="S935" s="360">
        <f t="shared" ca="1" si="427"/>
        <v>8.6519999999999992</v>
      </c>
      <c r="T935" s="357">
        <f t="shared" ca="1" si="407"/>
        <v>84.87612</v>
      </c>
      <c r="U935" s="364">
        <f t="shared" ca="1" si="408"/>
        <v>0</v>
      </c>
      <c r="V935" s="359">
        <f t="shared" ca="1" si="409"/>
        <v>1.2267024149525487</v>
      </c>
      <c r="W935" s="357">
        <f t="shared" ca="1" si="410"/>
        <v>52.487663989834672</v>
      </c>
      <c r="X935" s="343"/>
      <c r="Y935" s="367" t="str">
        <f t="shared" ca="1" si="428"/>
        <v/>
      </c>
      <c r="Z935" s="368" t="str">
        <f t="shared" ca="1" si="429"/>
        <v/>
      </c>
      <c r="AA935" s="369" t="str">
        <f t="shared" ca="1" si="430"/>
        <v/>
      </c>
      <c r="AB935" s="344"/>
      <c r="AC935" s="363" t="e">
        <f t="shared" ca="1" si="431"/>
        <v>#N/A</v>
      </c>
      <c r="AD935" s="376" t="e">
        <f t="shared" ca="1" si="432"/>
        <v>#N/A</v>
      </c>
      <c r="AE935" s="377" t="e">
        <f t="shared" ca="1" si="411"/>
        <v>#N/A</v>
      </c>
      <c r="AF935" s="344"/>
      <c r="AG935" s="359">
        <f t="shared" ca="1" si="433"/>
        <v>3.6523872749479862</v>
      </c>
      <c r="AH935" s="357">
        <f t="shared" ca="1" si="434"/>
        <v>-6.0664948717534122</v>
      </c>
    </row>
    <row r="936" spans="1:34" x14ac:dyDescent="0.25">
      <c r="A936" s="402">
        <f t="shared" ca="1" si="412"/>
        <v>1E-4</v>
      </c>
      <c r="B936" s="357">
        <f t="shared" ca="1" si="413"/>
        <v>35.62160000000091</v>
      </c>
      <c r="C936" s="342"/>
      <c r="D936" s="359">
        <f t="shared" ca="1" si="414"/>
        <v>-0.82491478656704065</v>
      </c>
      <c r="E936" s="360">
        <f t="shared" ca="1" si="415"/>
        <v>-3.7998114050952569</v>
      </c>
      <c r="F936" s="357">
        <f t="shared" ca="1" si="416"/>
        <v>3.8883224042495419</v>
      </c>
      <c r="G936" s="359">
        <f t="shared" ca="1" si="417"/>
        <v>18.695437880348731</v>
      </c>
      <c r="H936" s="360">
        <f t="shared" ca="1" si="418"/>
        <v>-136.21275627054825</v>
      </c>
      <c r="I936" s="357">
        <f t="shared" ca="1" si="419"/>
        <v>137.48976095825375</v>
      </c>
      <c r="J936" s="359">
        <f t="shared" ca="1" si="420"/>
        <v>1009.0500868209435</v>
      </c>
      <c r="K936" s="360">
        <f t="shared" ca="1" si="421"/>
        <v>-13.901236182204816</v>
      </c>
      <c r="L936" s="357">
        <f t="shared" ca="1" si="406"/>
        <v>1009.1458378652449</v>
      </c>
      <c r="M936" s="359">
        <f t="shared" ca="1" si="422"/>
        <v>-1.4343968253706547</v>
      </c>
      <c r="N936" s="357">
        <f t="shared" ca="1" si="423"/>
        <v>-82.184884240702274</v>
      </c>
      <c r="O936" s="343"/>
      <c r="P936" s="363">
        <f t="shared" ca="1" si="424"/>
        <v>23</v>
      </c>
      <c r="Q936" s="357">
        <f t="shared" ca="1" si="425"/>
        <v>0</v>
      </c>
      <c r="R936" s="359">
        <f t="shared" ca="1" si="426"/>
        <v>0</v>
      </c>
      <c r="S936" s="360">
        <f t="shared" ca="1" si="427"/>
        <v>8.6519999999999992</v>
      </c>
      <c r="T936" s="357">
        <f t="shared" ca="1" si="407"/>
        <v>84.87612</v>
      </c>
      <c r="U936" s="364">
        <f t="shared" ca="1" si="408"/>
        <v>0</v>
      </c>
      <c r="V936" s="359">
        <f t="shared" ca="1" si="409"/>
        <v>1.2267040858773333</v>
      </c>
      <c r="W936" s="357">
        <f t="shared" ca="1" si="410"/>
        <v>52.488014348063139</v>
      </c>
      <c r="X936" s="343"/>
      <c r="Y936" s="367" t="str">
        <f t="shared" ca="1" si="428"/>
        <v/>
      </c>
      <c r="Z936" s="368" t="str">
        <f t="shared" ca="1" si="429"/>
        <v/>
      </c>
      <c r="AA936" s="369" t="str">
        <f t="shared" ca="1" si="430"/>
        <v/>
      </c>
      <c r="AB936" s="344"/>
      <c r="AC936" s="363" t="e">
        <f t="shared" ca="1" si="431"/>
        <v>#N/A</v>
      </c>
      <c r="AD936" s="376" t="e">
        <f t="shared" ca="1" si="432"/>
        <v>#N/A</v>
      </c>
      <c r="AE936" s="377" t="e">
        <f t="shared" ca="1" si="411"/>
        <v>#N/A</v>
      </c>
      <c r="AF936" s="344"/>
      <c r="AG936" s="359">
        <f t="shared" ca="1" si="433"/>
        <v>3.652348074557251</v>
      </c>
      <c r="AH936" s="357">
        <f t="shared" ca="1" si="434"/>
        <v>-6.0665353663701662</v>
      </c>
    </row>
    <row r="937" spans="1:34" x14ac:dyDescent="0.25">
      <c r="A937" s="402">
        <f t="shared" ca="1" si="412"/>
        <v>1E-4</v>
      </c>
      <c r="B937" s="357">
        <f t="shared" ca="1" si="413"/>
        <v>35.621700000000914</v>
      </c>
      <c r="C937" s="342"/>
      <c r="D937" s="359">
        <f t="shared" ca="1" si="414"/>
        <v>-0.82491446172022576</v>
      </c>
      <c r="E937" s="360">
        <f t="shared" ca="1" si="415"/>
        <v>-3.7997704863892885</v>
      </c>
      <c r="F937" s="357">
        <f t="shared" ca="1" si="416"/>
        <v>3.8882823480799669</v>
      </c>
      <c r="G937" s="359">
        <f t="shared" ca="1" si="417"/>
        <v>18.695355388902559</v>
      </c>
      <c r="H937" s="360">
        <f t="shared" ca="1" si="418"/>
        <v>-136.21313624759691</v>
      </c>
      <c r="I937" s="357">
        <f t="shared" ca="1" si="419"/>
        <v>137.49012618920591</v>
      </c>
      <c r="J937" s="359">
        <f t="shared" ca="1" si="420"/>
        <v>1009.0500868209435</v>
      </c>
      <c r="K937" s="360">
        <f t="shared" ca="1" si="421"/>
        <v>-13.914857476830722</v>
      </c>
      <c r="L937" s="357">
        <f t="shared" ca="1" si="406"/>
        <v>1009.1460255938949</v>
      </c>
      <c r="M937" s="359">
        <f t="shared" ca="1" si="422"/>
        <v>-1.4343977955740306</v>
      </c>
      <c r="N937" s="357">
        <f t="shared" ca="1" si="423"/>
        <v>-82.184939829260983</v>
      </c>
      <c r="O937" s="343"/>
      <c r="P937" s="363">
        <f t="shared" ca="1" si="424"/>
        <v>23</v>
      </c>
      <c r="Q937" s="357">
        <f t="shared" ca="1" si="425"/>
        <v>0</v>
      </c>
      <c r="R937" s="359">
        <f t="shared" ca="1" si="426"/>
        <v>0</v>
      </c>
      <c r="S937" s="360">
        <f t="shared" ca="1" si="427"/>
        <v>8.6519999999999992</v>
      </c>
      <c r="T937" s="357">
        <f t="shared" ca="1" si="407"/>
        <v>84.87612</v>
      </c>
      <c r="U937" s="364">
        <f t="shared" ca="1" si="408"/>
        <v>0</v>
      </c>
      <c r="V937" s="359">
        <f t="shared" ca="1" si="409"/>
        <v>1.2267057568090562</v>
      </c>
      <c r="W937" s="357">
        <f t="shared" ca="1" si="410"/>
        <v>52.488364705095989</v>
      </c>
      <c r="X937" s="343"/>
      <c r="Y937" s="367" t="str">
        <f t="shared" ca="1" si="428"/>
        <v/>
      </c>
      <c r="Z937" s="368" t="str">
        <f t="shared" ca="1" si="429"/>
        <v/>
      </c>
      <c r="AA937" s="369" t="str">
        <f t="shared" ca="1" si="430"/>
        <v/>
      </c>
      <c r="AB937" s="344"/>
      <c r="AC937" s="363" t="e">
        <f t="shared" ca="1" si="431"/>
        <v>#N/A</v>
      </c>
      <c r="AD937" s="376" t="e">
        <f t="shared" ca="1" si="432"/>
        <v>#N/A</v>
      </c>
      <c r="AE937" s="377" t="e">
        <f t="shared" ca="1" si="411"/>
        <v>#N/A</v>
      </c>
      <c r="AF937" s="344"/>
      <c r="AG937" s="359">
        <f t="shared" ca="1" si="433"/>
        <v>3.6523088742829746</v>
      </c>
      <c r="AH937" s="357">
        <f t="shared" ca="1" si="434"/>
        <v>-6.0665758608487224</v>
      </c>
    </row>
    <row r="938" spans="1:34" x14ac:dyDescent="0.25">
      <c r="A938" s="402">
        <f t="shared" ca="1" si="412"/>
        <v>1E-4</v>
      </c>
      <c r="B938" s="357">
        <f t="shared" ca="1" si="413"/>
        <v>35.621800000000917</v>
      </c>
      <c r="C938" s="342"/>
      <c r="D938" s="359">
        <f t="shared" ca="1" si="414"/>
        <v>-0.82491413683270742</v>
      </c>
      <c r="E938" s="360">
        <f t="shared" ca="1" si="415"/>
        <v>-3.7997295678229843</v>
      </c>
      <c r="F938" s="357">
        <f t="shared" ca="1" si="416"/>
        <v>3.8882422920562312</v>
      </c>
      <c r="G938" s="359">
        <f t="shared" ca="1" si="417"/>
        <v>18.695272897488877</v>
      </c>
      <c r="H938" s="360">
        <f t="shared" ca="1" si="418"/>
        <v>-136.21351622055369</v>
      </c>
      <c r="I938" s="357">
        <f t="shared" ca="1" si="419"/>
        <v>137.49049141623803</v>
      </c>
      <c r="J938" s="359">
        <f t="shared" ca="1" si="420"/>
        <v>1009.0500868209435</v>
      </c>
      <c r="K938" s="360">
        <f t="shared" ca="1" si="421"/>
        <v>-13.928478809454129</v>
      </c>
      <c r="L938" s="357">
        <f t="shared" ca="1" si="406"/>
        <v>1009.1462135068927</v>
      </c>
      <c r="M938" s="359">
        <f t="shared" ca="1" si="422"/>
        <v>-1.4343987657679713</v>
      </c>
      <c r="N938" s="357">
        <f t="shared" ca="1" si="423"/>
        <v>-82.184995417279097</v>
      </c>
      <c r="O938" s="343"/>
      <c r="P938" s="363">
        <f t="shared" ca="1" si="424"/>
        <v>23</v>
      </c>
      <c r="Q938" s="357">
        <f t="shared" ca="1" si="425"/>
        <v>0</v>
      </c>
      <c r="R938" s="359">
        <f t="shared" ca="1" si="426"/>
        <v>0</v>
      </c>
      <c r="S938" s="360">
        <f t="shared" ca="1" si="427"/>
        <v>8.6519999999999992</v>
      </c>
      <c r="T938" s="357">
        <f t="shared" ca="1" si="407"/>
        <v>84.87612</v>
      </c>
      <c r="U938" s="364">
        <f t="shared" ca="1" si="408"/>
        <v>0</v>
      </c>
      <c r="V938" s="359">
        <f t="shared" ca="1" si="409"/>
        <v>1.2267074277477186</v>
      </c>
      <c r="W938" s="357">
        <f t="shared" ca="1" si="410"/>
        <v>52.488715060933181</v>
      </c>
      <c r="X938" s="343"/>
      <c r="Y938" s="367" t="str">
        <f t="shared" ca="1" si="428"/>
        <v/>
      </c>
      <c r="Z938" s="368" t="str">
        <f t="shared" ca="1" si="429"/>
        <v/>
      </c>
      <c r="AA938" s="369" t="str">
        <f t="shared" ca="1" si="430"/>
        <v/>
      </c>
      <c r="AB938" s="344"/>
      <c r="AC938" s="363" t="e">
        <f t="shared" ca="1" si="431"/>
        <v>#N/A</v>
      </c>
      <c r="AD938" s="376" t="e">
        <f t="shared" ca="1" si="432"/>
        <v>#N/A</v>
      </c>
      <c r="AE938" s="377" t="e">
        <f t="shared" ca="1" si="411"/>
        <v>#N/A</v>
      </c>
      <c r="AF938" s="344"/>
      <c r="AG938" s="359">
        <f t="shared" ca="1" si="433"/>
        <v>3.6522696741251561</v>
      </c>
      <c r="AH938" s="357">
        <f t="shared" ca="1" si="434"/>
        <v>-6.0666163551890886</v>
      </c>
    </row>
    <row r="939" spans="1:34" x14ac:dyDescent="0.25">
      <c r="A939" s="402">
        <f t="shared" ca="1" si="412"/>
        <v>1E-4</v>
      </c>
      <c r="B939" s="357">
        <f t="shared" ca="1" si="413"/>
        <v>35.62190000000092</v>
      </c>
      <c r="C939" s="342"/>
      <c r="D939" s="359">
        <f t="shared" ca="1" si="414"/>
        <v>-0.82491381190448387</v>
      </c>
      <c r="E939" s="360">
        <f t="shared" ca="1" si="415"/>
        <v>-3.7996886493963471</v>
      </c>
      <c r="F939" s="357">
        <f t="shared" ca="1" si="416"/>
        <v>3.888202236178337</v>
      </c>
      <c r="G939" s="359">
        <f t="shared" ca="1" si="417"/>
        <v>18.695190406107688</v>
      </c>
      <c r="H939" s="360">
        <f t="shared" ca="1" si="418"/>
        <v>-136.21389618941862</v>
      </c>
      <c r="I939" s="357">
        <f t="shared" ca="1" si="419"/>
        <v>137.49085663935014</v>
      </c>
      <c r="J939" s="359">
        <f t="shared" ca="1" si="420"/>
        <v>1009.0500868209435</v>
      </c>
      <c r="K939" s="360">
        <f t="shared" ca="1" si="421"/>
        <v>-13.942100180074627</v>
      </c>
      <c r="L939" s="357">
        <f t="shared" ca="1" si="406"/>
        <v>1009.1464016042395</v>
      </c>
      <c r="M939" s="359">
        <f t="shared" ca="1" si="422"/>
        <v>-1.4343997359524765</v>
      </c>
      <c r="N939" s="357">
        <f t="shared" ca="1" si="423"/>
        <v>-82.185051004756602</v>
      </c>
      <c r="O939" s="343"/>
      <c r="P939" s="363">
        <f t="shared" ca="1" si="424"/>
        <v>23</v>
      </c>
      <c r="Q939" s="357">
        <f t="shared" ca="1" si="425"/>
        <v>0</v>
      </c>
      <c r="R939" s="359">
        <f t="shared" ca="1" si="426"/>
        <v>0</v>
      </c>
      <c r="S939" s="360">
        <f t="shared" ca="1" si="427"/>
        <v>8.6519999999999992</v>
      </c>
      <c r="T939" s="357">
        <f t="shared" ca="1" si="407"/>
        <v>84.87612</v>
      </c>
      <c r="U939" s="364">
        <f t="shared" ca="1" si="408"/>
        <v>0</v>
      </c>
      <c r="V939" s="359">
        <f t="shared" ca="1" si="409"/>
        <v>1.2267090986933189</v>
      </c>
      <c r="W939" s="357">
        <f t="shared" ca="1" si="410"/>
        <v>52.489065415574665</v>
      </c>
      <c r="X939" s="343"/>
      <c r="Y939" s="367" t="str">
        <f t="shared" ca="1" si="428"/>
        <v/>
      </c>
      <c r="Z939" s="368" t="str">
        <f t="shared" ca="1" si="429"/>
        <v/>
      </c>
      <c r="AA939" s="369" t="str">
        <f t="shared" ca="1" si="430"/>
        <v/>
      </c>
      <c r="AB939" s="344"/>
      <c r="AC939" s="363" t="e">
        <f t="shared" ca="1" si="431"/>
        <v>#N/A</v>
      </c>
      <c r="AD939" s="376" t="e">
        <f t="shared" ca="1" si="432"/>
        <v>#N/A</v>
      </c>
      <c r="AE939" s="377" t="e">
        <f t="shared" ca="1" si="411"/>
        <v>#N/A</v>
      </c>
      <c r="AF939" s="344"/>
      <c r="AG939" s="359">
        <f t="shared" ca="1" si="433"/>
        <v>3.6522304740837965</v>
      </c>
      <c r="AH939" s="357">
        <f t="shared" ca="1" si="434"/>
        <v>-6.0666568493912605</v>
      </c>
    </row>
    <row r="940" spans="1:34" x14ac:dyDescent="0.25">
      <c r="A940" s="402">
        <f t="shared" ca="1" si="412"/>
        <v>1E-4</v>
      </c>
      <c r="B940" s="357">
        <f t="shared" ca="1" si="413"/>
        <v>35.622000000000924</v>
      </c>
      <c r="C940" s="342"/>
      <c r="D940" s="359">
        <f t="shared" ca="1" si="414"/>
        <v>-0.82491348693555855</v>
      </c>
      <c r="E940" s="360">
        <f t="shared" ca="1" si="415"/>
        <v>-3.7996477311093839</v>
      </c>
      <c r="F940" s="357">
        <f t="shared" ca="1" si="416"/>
        <v>3.8881621804462929</v>
      </c>
      <c r="G940" s="359">
        <f t="shared" ca="1" si="417"/>
        <v>18.695107914758996</v>
      </c>
      <c r="H940" s="360">
        <f t="shared" ca="1" si="418"/>
        <v>-136.21427615419174</v>
      </c>
      <c r="I940" s="357">
        <f t="shared" ca="1" si="419"/>
        <v>137.49122185854227</v>
      </c>
      <c r="J940" s="359">
        <f t="shared" ca="1" si="420"/>
        <v>1009.0500868209435</v>
      </c>
      <c r="K940" s="360">
        <f t="shared" ca="1" si="421"/>
        <v>-13.955721588691807</v>
      </c>
      <c r="L940" s="357">
        <f t="shared" ca="1" si="406"/>
        <v>1009.1465898859366</v>
      </c>
      <c r="M940" s="359">
        <f t="shared" ca="1" si="422"/>
        <v>-1.4344007061275468</v>
      </c>
      <c r="N940" s="357">
        <f t="shared" ca="1" si="423"/>
        <v>-82.185106591693511</v>
      </c>
      <c r="O940" s="343"/>
      <c r="P940" s="363">
        <f t="shared" ca="1" si="424"/>
        <v>23</v>
      </c>
      <c r="Q940" s="357">
        <f t="shared" ca="1" si="425"/>
        <v>0</v>
      </c>
      <c r="R940" s="359">
        <f t="shared" ca="1" si="426"/>
        <v>0</v>
      </c>
      <c r="S940" s="360">
        <f t="shared" ca="1" si="427"/>
        <v>8.6519999999999992</v>
      </c>
      <c r="T940" s="357">
        <f t="shared" ca="1" si="407"/>
        <v>84.87612</v>
      </c>
      <c r="U940" s="364">
        <f t="shared" ca="1" si="408"/>
        <v>0</v>
      </c>
      <c r="V940" s="359">
        <f t="shared" ca="1" si="409"/>
        <v>1.226710769645859</v>
      </c>
      <c r="W940" s="357">
        <f t="shared" ca="1" si="410"/>
        <v>52.489415769020475</v>
      </c>
      <c r="X940" s="343"/>
      <c r="Y940" s="367" t="str">
        <f t="shared" ca="1" si="428"/>
        <v/>
      </c>
      <c r="Z940" s="368" t="str">
        <f t="shared" ca="1" si="429"/>
        <v/>
      </c>
      <c r="AA940" s="369" t="str">
        <f t="shared" ca="1" si="430"/>
        <v/>
      </c>
      <c r="AB940" s="344"/>
      <c r="AC940" s="363" t="e">
        <f t="shared" ca="1" si="431"/>
        <v>#N/A</v>
      </c>
      <c r="AD940" s="376" t="e">
        <f t="shared" ca="1" si="432"/>
        <v>#N/A</v>
      </c>
      <c r="AE940" s="377" t="e">
        <f t="shared" ca="1" si="411"/>
        <v>#N/A</v>
      </c>
      <c r="AF940" s="344"/>
      <c r="AG940" s="359">
        <f t="shared" ca="1" si="433"/>
        <v>3.652191274158902</v>
      </c>
      <c r="AH940" s="357">
        <f t="shared" ca="1" si="434"/>
        <v>-6.0666973434552318</v>
      </c>
    </row>
    <row r="941" spans="1:34" x14ac:dyDescent="0.25">
      <c r="A941" s="402">
        <f t="shared" ca="1" si="412"/>
        <v>1E-4</v>
      </c>
      <c r="B941" s="357">
        <f t="shared" ca="1" si="413"/>
        <v>35.622100000000927</v>
      </c>
      <c r="C941" s="342"/>
      <c r="D941" s="359">
        <f t="shared" ca="1" si="414"/>
        <v>-0.82491316192592967</v>
      </c>
      <c r="E941" s="360">
        <f t="shared" ca="1" si="415"/>
        <v>-3.7996068129620877</v>
      </c>
      <c r="F941" s="357">
        <f t="shared" ca="1" si="416"/>
        <v>3.8881221248600908</v>
      </c>
      <c r="G941" s="359">
        <f t="shared" ca="1" si="417"/>
        <v>18.695025423442804</v>
      </c>
      <c r="H941" s="360">
        <f t="shared" ca="1" si="418"/>
        <v>-136.21465611487304</v>
      </c>
      <c r="I941" s="357">
        <f t="shared" ca="1" si="419"/>
        <v>137.4915870738144</v>
      </c>
      <c r="J941" s="359">
        <f t="shared" ca="1" si="420"/>
        <v>1009.0500868209435</v>
      </c>
      <c r="K941" s="360">
        <f t="shared" ca="1" si="421"/>
        <v>-13.969343035305259</v>
      </c>
      <c r="L941" s="357">
        <f t="shared" ca="1" si="406"/>
        <v>1009.1467783519856</v>
      </c>
      <c r="M941" s="359">
        <f t="shared" ca="1" si="422"/>
        <v>-1.4344016762931822</v>
      </c>
      <c r="N941" s="357">
        <f t="shared" ca="1" si="423"/>
        <v>-82.185162178089854</v>
      </c>
      <c r="O941" s="343"/>
      <c r="P941" s="363">
        <f t="shared" ca="1" si="424"/>
        <v>23</v>
      </c>
      <c r="Q941" s="357">
        <f t="shared" ca="1" si="425"/>
        <v>0</v>
      </c>
      <c r="R941" s="359">
        <f t="shared" ca="1" si="426"/>
        <v>0</v>
      </c>
      <c r="S941" s="360">
        <f t="shared" ca="1" si="427"/>
        <v>8.6519999999999992</v>
      </c>
      <c r="T941" s="357">
        <f t="shared" ca="1" si="407"/>
        <v>84.87612</v>
      </c>
      <c r="U941" s="364">
        <f t="shared" ca="1" si="408"/>
        <v>0</v>
      </c>
      <c r="V941" s="359">
        <f t="shared" ca="1" si="409"/>
        <v>1.2267124406053369</v>
      </c>
      <c r="W941" s="357">
        <f t="shared" ca="1" si="410"/>
        <v>52.489766121270492</v>
      </c>
      <c r="X941" s="343"/>
      <c r="Y941" s="367" t="str">
        <f t="shared" ca="1" si="428"/>
        <v/>
      </c>
      <c r="Z941" s="368" t="str">
        <f t="shared" ca="1" si="429"/>
        <v/>
      </c>
      <c r="AA941" s="369" t="str">
        <f t="shared" ca="1" si="430"/>
        <v/>
      </c>
      <c r="AB941" s="344"/>
      <c r="AC941" s="363" t="e">
        <f t="shared" ca="1" si="431"/>
        <v>#N/A</v>
      </c>
      <c r="AD941" s="376" t="e">
        <f t="shared" ca="1" si="432"/>
        <v>#N/A</v>
      </c>
      <c r="AE941" s="377" t="e">
        <f t="shared" ca="1" si="411"/>
        <v>#N/A</v>
      </c>
      <c r="AF941" s="344"/>
      <c r="AG941" s="359">
        <f t="shared" ca="1" si="433"/>
        <v>3.6521520743504707</v>
      </c>
      <c r="AH941" s="357">
        <f t="shared" ca="1" si="434"/>
        <v>-6.0667378373810079</v>
      </c>
    </row>
    <row r="942" spans="1:34" x14ac:dyDescent="0.25">
      <c r="A942" s="402">
        <f t="shared" ca="1" si="412"/>
        <v>1E-4</v>
      </c>
      <c r="B942" s="357">
        <f t="shared" ca="1" si="413"/>
        <v>35.62220000000093</v>
      </c>
      <c r="C942" s="342"/>
      <c r="D942" s="359">
        <f t="shared" ca="1" si="414"/>
        <v>-0.8249128368755968</v>
      </c>
      <c r="E942" s="360">
        <f t="shared" ca="1" si="415"/>
        <v>-3.7995658949544762</v>
      </c>
      <c r="F942" s="357">
        <f t="shared" ca="1" si="416"/>
        <v>3.8880820694197489</v>
      </c>
      <c r="G942" s="359">
        <f t="shared" ca="1" si="417"/>
        <v>18.694942932159115</v>
      </c>
      <c r="H942" s="360">
        <f t="shared" ca="1" si="418"/>
        <v>-136.21503607146252</v>
      </c>
      <c r="I942" s="357">
        <f t="shared" ca="1" si="419"/>
        <v>137.49195228516658</v>
      </c>
      <c r="J942" s="359">
        <f t="shared" ca="1" si="420"/>
        <v>1009.0500868209435</v>
      </c>
      <c r="K942" s="360">
        <f t="shared" ca="1" si="421"/>
        <v>-13.982964519914576</v>
      </c>
      <c r="L942" s="357">
        <f t="shared" ca="1" si="406"/>
        <v>1009.146967002388</v>
      </c>
      <c r="M942" s="359">
        <f t="shared" ca="1" si="422"/>
        <v>-1.4344026464493826</v>
      </c>
      <c r="N942" s="357">
        <f t="shared" ca="1" si="423"/>
        <v>-82.185217763945602</v>
      </c>
      <c r="O942" s="343"/>
      <c r="P942" s="363">
        <f t="shared" ca="1" si="424"/>
        <v>23</v>
      </c>
      <c r="Q942" s="357">
        <f t="shared" ca="1" si="425"/>
        <v>0</v>
      </c>
      <c r="R942" s="359">
        <f t="shared" ca="1" si="426"/>
        <v>0</v>
      </c>
      <c r="S942" s="360">
        <f t="shared" ca="1" si="427"/>
        <v>8.6519999999999992</v>
      </c>
      <c r="T942" s="357">
        <f t="shared" ca="1" si="407"/>
        <v>84.87612</v>
      </c>
      <c r="U942" s="364">
        <f t="shared" ca="1" si="408"/>
        <v>0</v>
      </c>
      <c r="V942" s="359">
        <f t="shared" ca="1" si="409"/>
        <v>1.2267141115717539</v>
      </c>
      <c r="W942" s="357">
        <f t="shared" ca="1" si="410"/>
        <v>52.490116472324814</v>
      </c>
      <c r="X942" s="343"/>
      <c r="Y942" s="367" t="str">
        <f t="shared" ca="1" si="428"/>
        <v/>
      </c>
      <c r="Z942" s="368" t="str">
        <f t="shared" ca="1" si="429"/>
        <v/>
      </c>
      <c r="AA942" s="369" t="str">
        <f t="shared" ca="1" si="430"/>
        <v/>
      </c>
      <c r="AB942" s="344"/>
      <c r="AC942" s="363" t="e">
        <f t="shared" ca="1" si="431"/>
        <v>#N/A</v>
      </c>
      <c r="AD942" s="376" t="e">
        <f t="shared" ca="1" si="432"/>
        <v>#N/A</v>
      </c>
      <c r="AE942" s="377" t="e">
        <f t="shared" ca="1" si="411"/>
        <v>#N/A</v>
      </c>
      <c r="AF942" s="344"/>
      <c r="AG942" s="359">
        <f t="shared" ca="1" si="433"/>
        <v>3.6521128746585161</v>
      </c>
      <c r="AH942" s="357">
        <f t="shared" ca="1" si="434"/>
        <v>-6.0667783311685737</v>
      </c>
    </row>
    <row r="943" spans="1:34" x14ac:dyDescent="0.25">
      <c r="A943" s="402">
        <f t="shared" ca="1" si="412"/>
        <v>1E-4</v>
      </c>
      <c r="B943" s="357">
        <f t="shared" ca="1" si="413"/>
        <v>35.622300000000934</v>
      </c>
      <c r="C943" s="342"/>
      <c r="D943" s="359">
        <f t="shared" ca="1" si="414"/>
        <v>-0.82491251178456326</v>
      </c>
      <c r="E943" s="360">
        <f t="shared" ca="1" si="415"/>
        <v>-3.7995249770865351</v>
      </c>
      <c r="F943" s="357">
        <f t="shared" ca="1" si="416"/>
        <v>3.888042014125253</v>
      </c>
      <c r="G943" s="359">
        <f t="shared" ca="1" si="417"/>
        <v>18.694860440907938</v>
      </c>
      <c r="H943" s="360">
        <f t="shared" ca="1" si="418"/>
        <v>-136.21541602396022</v>
      </c>
      <c r="I943" s="357">
        <f t="shared" ca="1" si="419"/>
        <v>137.49231749259877</v>
      </c>
      <c r="J943" s="359">
        <f t="shared" ca="1" si="420"/>
        <v>1009.0500868209435</v>
      </c>
      <c r="K943" s="360">
        <f t="shared" ca="1" si="421"/>
        <v>-13.996586042519347</v>
      </c>
      <c r="L943" s="357">
        <f t="shared" ca="1" si="406"/>
        <v>1009.1471558371452</v>
      </c>
      <c r="M943" s="359">
        <f t="shared" ca="1" si="422"/>
        <v>-1.4344036165961485</v>
      </c>
      <c r="N943" s="357">
        <f t="shared" ca="1" si="423"/>
        <v>-82.185273349260797</v>
      </c>
      <c r="O943" s="343"/>
      <c r="P943" s="363">
        <f t="shared" ca="1" si="424"/>
        <v>23</v>
      </c>
      <c r="Q943" s="357">
        <f t="shared" ca="1" si="425"/>
        <v>0</v>
      </c>
      <c r="R943" s="359">
        <f t="shared" ca="1" si="426"/>
        <v>0</v>
      </c>
      <c r="S943" s="360">
        <f t="shared" ca="1" si="427"/>
        <v>8.6519999999999992</v>
      </c>
      <c r="T943" s="357">
        <f t="shared" ca="1" si="407"/>
        <v>84.87612</v>
      </c>
      <c r="U943" s="364">
        <f t="shared" ca="1" si="408"/>
        <v>0</v>
      </c>
      <c r="V943" s="359">
        <f t="shared" ca="1" si="409"/>
        <v>1.2267157825451098</v>
      </c>
      <c r="W943" s="357">
        <f t="shared" ca="1" si="410"/>
        <v>52.49046682218335</v>
      </c>
      <c r="X943" s="343"/>
      <c r="Y943" s="367" t="str">
        <f t="shared" ca="1" si="428"/>
        <v/>
      </c>
      <c r="Z943" s="368" t="str">
        <f t="shared" ca="1" si="429"/>
        <v/>
      </c>
      <c r="AA943" s="369" t="str">
        <f t="shared" ca="1" si="430"/>
        <v/>
      </c>
      <c r="AB943" s="344"/>
      <c r="AC943" s="363" t="e">
        <f t="shared" ca="1" si="431"/>
        <v>#N/A</v>
      </c>
      <c r="AD943" s="376" t="e">
        <f t="shared" ca="1" si="432"/>
        <v>#N/A</v>
      </c>
      <c r="AE943" s="377" t="e">
        <f t="shared" ca="1" si="411"/>
        <v>#N/A</v>
      </c>
      <c r="AF943" s="344"/>
      <c r="AG943" s="359">
        <f t="shared" ca="1" si="433"/>
        <v>3.65207367508303</v>
      </c>
      <c r="AH943" s="357">
        <f t="shared" ca="1" si="434"/>
        <v>-6.0668188248179407</v>
      </c>
    </row>
    <row r="944" spans="1:34" x14ac:dyDescent="0.25">
      <c r="A944" s="402">
        <f t="shared" ca="1" si="412"/>
        <v>1E-4</v>
      </c>
      <c r="B944" s="357">
        <f t="shared" ca="1" si="413"/>
        <v>35.622400000000937</v>
      </c>
      <c r="C944" s="342"/>
      <c r="D944" s="359">
        <f t="shared" ca="1" si="414"/>
        <v>-0.82491218665282728</v>
      </c>
      <c r="E944" s="360">
        <f t="shared" ca="1" si="415"/>
        <v>-3.799484059358277</v>
      </c>
      <c r="F944" s="357">
        <f t="shared" ca="1" si="416"/>
        <v>3.8880019589766155</v>
      </c>
      <c r="G944" s="359">
        <f t="shared" ca="1" si="417"/>
        <v>18.694777949689271</v>
      </c>
      <c r="H944" s="360">
        <f t="shared" ca="1" si="418"/>
        <v>-136.21579597236615</v>
      </c>
      <c r="I944" s="357">
        <f t="shared" ca="1" si="419"/>
        <v>137.49268269611102</v>
      </c>
      <c r="J944" s="359">
        <f t="shared" ca="1" si="420"/>
        <v>1009.0500868209435</v>
      </c>
      <c r="K944" s="360">
        <f t="shared" ca="1" si="421"/>
        <v>-14.010207603119163</v>
      </c>
      <c r="L944" s="357">
        <f t="shared" ca="1" si="406"/>
        <v>1009.1473448562584</v>
      </c>
      <c r="M944" s="359">
        <f t="shared" ca="1" si="422"/>
        <v>-1.43440458673348</v>
      </c>
      <c r="N944" s="357">
        <f t="shared" ca="1" si="423"/>
        <v>-82.185328934035439</v>
      </c>
      <c r="O944" s="343"/>
      <c r="P944" s="363">
        <f t="shared" ca="1" si="424"/>
        <v>23</v>
      </c>
      <c r="Q944" s="357">
        <f t="shared" ca="1" si="425"/>
        <v>0</v>
      </c>
      <c r="R944" s="359">
        <f t="shared" ca="1" si="426"/>
        <v>0</v>
      </c>
      <c r="S944" s="360">
        <f t="shared" ca="1" si="427"/>
        <v>8.6519999999999992</v>
      </c>
      <c r="T944" s="357">
        <f t="shared" ca="1" si="407"/>
        <v>84.87612</v>
      </c>
      <c r="U944" s="364">
        <f t="shared" ca="1" si="408"/>
        <v>0</v>
      </c>
      <c r="V944" s="359">
        <f t="shared" ca="1" si="409"/>
        <v>1.2267174535254042</v>
      </c>
      <c r="W944" s="357">
        <f t="shared" ca="1" si="410"/>
        <v>52.490817170846078</v>
      </c>
      <c r="X944" s="343"/>
      <c r="Y944" s="367" t="str">
        <f t="shared" ca="1" si="428"/>
        <v/>
      </c>
      <c r="Z944" s="368" t="str">
        <f t="shared" ca="1" si="429"/>
        <v/>
      </c>
      <c r="AA944" s="369" t="str">
        <f t="shared" ca="1" si="430"/>
        <v/>
      </c>
      <c r="AB944" s="344"/>
      <c r="AC944" s="363" t="e">
        <f t="shared" ca="1" si="431"/>
        <v>#N/A</v>
      </c>
      <c r="AD944" s="376" t="e">
        <f t="shared" ca="1" si="432"/>
        <v>#N/A</v>
      </c>
      <c r="AE944" s="377" t="e">
        <f t="shared" ca="1" si="411"/>
        <v>#N/A</v>
      </c>
      <c r="AF944" s="344"/>
      <c r="AG944" s="359">
        <f t="shared" ca="1" si="433"/>
        <v>3.6520344756240197</v>
      </c>
      <c r="AH944" s="357">
        <f t="shared" ca="1" si="434"/>
        <v>-6.0668593183290982</v>
      </c>
    </row>
    <row r="945" spans="1:34" x14ac:dyDescent="0.25">
      <c r="A945" s="402">
        <f t="shared" ca="1" si="412"/>
        <v>1E-4</v>
      </c>
      <c r="B945" s="357">
        <f t="shared" ca="1" si="413"/>
        <v>35.62250000000094</v>
      </c>
      <c r="C945" s="342"/>
      <c r="D945" s="359">
        <f t="shared" ca="1" si="414"/>
        <v>-0.82491186148038775</v>
      </c>
      <c r="E945" s="360">
        <f t="shared" ca="1" si="415"/>
        <v>-3.7994431417697037</v>
      </c>
      <c r="F945" s="357">
        <f t="shared" ca="1" si="416"/>
        <v>3.8879619039738382</v>
      </c>
      <c r="G945" s="359">
        <f t="shared" ca="1" si="417"/>
        <v>18.694695458503123</v>
      </c>
      <c r="H945" s="360">
        <f t="shared" ca="1" si="418"/>
        <v>-136.21617591668033</v>
      </c>
      <c r="I945" s="357">
        <f t="shared" ca="1" si="419"/>
        <v>137.49304789570337</v>
      </c>
      <c r="J945" s="359">
        <f t="shared" ca="1" si="420"/>
        <v>1009.0500868209435</v>
      </c>
      <c r="K945" s="360">
        <f t="shared" ca="1" si="421"/>
        <v>-14.023829201713616</v>
      </c>
      <c r="L945" s="357">
        <f t="shared" ca="1" si="406"/>
        <v>1009.1475340597293</v>
      </c>
      <c r="M945" s="359">
        <f t="shared" ca="1" si="422"/>
        <v>-1.4344055568613769</v>
      </c>
      <c r="N945" s="357">
        <f t="shared" ca="1" si="423"/>
        <v>-82.185384518269515</v>
      </c>
      <c r="O945" s="343"/>
      <c r="P945" s="363">
        <f t="shared" ca="1" si="424"/>
        <v>23</v>
      </c>
      <c r="Q945" s="357">
        <f t="shared" ca="1" si="425"/>
        <v>0</v>
      </c>
      <c r="R945" s="359">
        <f t="shared" ca="1" si="426"/>
        <v>0</v>
      </c>
      <c r="S945" s="360">
        <f t="shared" ca="1" si="427"/>
        <v>8.6519999999999992</v>
      </c>
      <c r="T945" s="357">
        <f t="shared" ca="1" si="407"/>
        <v>84.87612</v>
      </c>
      <c r="U945" s="364">
        <f t="shared" ca="1" si="408"/>
        <v>0</v>
      </c>
      <c r="V945" s="359">
        <f t="shared" ca="1" si="409"/>
        <v>1.226719124512637</v>
      </c>
      <c r="W945" s="357">
        <f t="shared" ca="1" si="410"/>
        <v>52.491167518313034</v>
      </c>
      <c r="X945" s="343"/>
      <c r="Y945" s="367" t="str">
        <f t="shared" ca="1" si="428"/>
        <v/>
      </c>
      <c r="Z945" s="368" t="str">
        <f t="shared" ca="1" si="429"/>
        <v/>
      </c>
      <c r="AA945" s="369" t="str">
        <f t="shared" ca="1" si="430"/>
        <v/>
      </c>
      <c r="AB945" s="344"/>
      <c r="AC945" s="363" t="e">
        <f t="shared" ca="1" si="431"/>
        <v>#N/A</v>
      </c>
      <c r="AD945" s="376" t="e">
        <f t="shared" ca="1" si="432"/>
        <v>#N/A</v>
      </c>
      <c r="AE945" s="377" t="e">
        <f t="shared" ca="1" si="411"/>
        <v>#N/A</v>
      </c>
      <c r="AF945" s="344"/>
      <c r="AG945" s="359">
        <f t="shared" ca="1" si="433"/>
        <v>3.6519952762814896</v>
      </c>
      <c r="AH945" s="357">
        <f t="shared" ca="1" si="434"/>
        <v>-6.0668998117020436</v>
      </c>
    </row>
    <row r="946" spans="1:34" x14ac:dyDescent="0.25">
      <c r="A946" s="402">
        <f t="shared" ca="1" si="412"/>
        <v>1E-4</v>
      </c>
      <c r="B946" s="357">
        <f t="shared" ca="1" si="413"/>
        <v>35.622600000000944</v>
      </c>
      <c r="C946" s="342"/>
      <c r="D946" s="359">
        <f t="shared" ca="1" si="414"/>
        <v>-0.82491153626724967</v>
      </c>
      <c r="E946" s="360">
        <f t="shared" ca="1" si="415"/>
        <v>-3.7994022243208114</v>
      </c>
      <c r="F946" s="357">
        <f t="shared" ca="1" si="416"/>
        <v>3.8879218491169194</v>
      </c>
      <c r="G946" s="359">
        <f t="shared" ca="1" si="417"/>
        <v>18.694612967349496</v>
      </c>
      <c r="H946" s="360">
        <f t="shared" ca="1" si="418"/>
        <v>-136.21655585690277</v>
      </c>
      <c r="I946" s="357">
        <f t="shared" ca="1" si="419"/>
        <v>137.49341309137577</v>
      </c>
      <c r="J946" s="359">
        <f t="shared" ca="1" si="420"/>
        <v>1009.0500868209435</v>
      </c>
      <c r="K946" s="360">
        <f t="shared" ca="1" si="421"/>
        <v>-14.037450838302295</v>
      </c>
      <c r="L946" s="357">
        <f t="shared" ca="1" si="406"/>
        <v>1009.1477234475592</v>
      </c>
      <c r="M946" s="359">
        <f t="shared" ca="1" si="422"/>
        <v>-1.4344065269798396</v>
      </c>
      <c r="N946" s="357">
        <f t="shared" ca="1" si="423"/>
        <v>-82.185440101963067</v>
      </c>
      <c r="O946" s="343"/>
      <c r="P946" s="363">
        <f t="shared" ca="1" si="424"/>
        <v>23</v>
      </c>
      <c r="Q946" s="357">
        <f t="shared" ca="1" si="425"/>
        <v>0</v>
      </c>
      <c r="R946" s="359">
        <f t="shared" ca="1" si="426"/>
        <v>0</v>
      </c>
      <c r="S946" s="360">
        <f t="shared" ca="1" si="427"/>
        <v>8.6519999999999992</v>
      </c>
      <c r="T946" s="357">
        <f t="shared" ca="1" si="407"/>
        <v>84.87612</v>
      </c>
      <c r="U946" s="364">
        <f t="shared" ca="1" si="408"/>
        <v>0</v>
      </c>
      <c r="V946" s="359">
        <f t="shared" ca="1" si="409"/>
        <v>1.2267207955068087</v>
      </c>
      <c r="W946" s="357">
        <f t="shared" ca="1" si="410"/>
        <v>52.491517864584154</v>
      </c>
      <c r="X946" s="343"/>
      <c r="Y946" s="367" t="str">
        <f t="shared" ca="1" si="428"/>
        <v/>
      </c>
      <c r="Z946" s="368" t="str">
        <f t="shared" ca="1" si="429"/>
        <v/>
      </c>
      <c r="AA946" s="369" t="str">
        <f t="shared" ca="1" si="430"/>
        <v/>
      </c>
      <c r="AB946" s="344"/>
      <c r="AC946" s="363" t="e">
        <f t="shared" ca="1" si="431"/>
        <v>#N/A</v>
      </c>
      <c r="AD946" s="376" t="e">
        <f t="shared" ca="1" si="432"/>
        <v>#N/A</v>
      </c>
      <c r="AE946" s="377" t="e">
        <f t="shared" ca="1" si="411"/>
        <v>#N/A</v>
      </c>
      <c r="AF946" s="344"/>
      <c r="AG946" s="359">
        <f t="shared" ca="1" si="433"/>
        <v>3.651956077055436</v>
      </c>
      <c r="AH946" s="357">
        <f t="shared" ca="1" si="434"/>
        <v>-6.0669403049367823</v>
      </c>
    </row>
    <row r="947" spans="1:34" x14ac:dyDescent="0.25">
      <c r="A947" s="402">
        <f t="shared" ca="1" si="412"/>
        <v>1E-4</v>
      </c>
      <c r="B947" s="357">
        <f t="shared" ca="1" si="413"/>
        <v>35.622700000000947</v>
      </c>
      <c r="C947" s="342"/>
      <c r="D947" s="359">
        <f t="shared" ca="1" si="414"/>
        <v>-0.82491121101341036</v>
      </c>
      <c r="E947" s="360">
        <f t="shared" ca="1" si="415"/>
        <v>-3.7993613070116066</v>
      </c>
      <c r="F947" s="357">
        <f t="shared" ca="1" si="416"/>
        <v>3.887881794405863</v>
      </c>
      <c r="G947" s="359">
        <f t="shared" ca="1" si="417"/>
        <v>18.694530476228394</v>
      </c>
      <c r="H947" s="360">
        <f t="shared" ca="1" si="418"/>
        <v>-136.21693579303349</v>
      </c>
      <c r="I947" s="357">
        <f t="shared" ca="1" si="419"/>
        <v>137.49377828312828</v>
      </c>
      <c r="J947" s="359">
        <f t="shared" ca="1" si="420"/>
        <v>1009.0500868209435</v>
      </c>
      <c r="K947" s="360">
        <f t="shared" ca="1" si="421"/>
        <v>-14.051072512884792</v>
      </c>
      <c r="L947" s="357">
        <f t="shared" ca="1" si="406"/>
        <v>1009.1479130197496</v>
      </c>
      <c r="M947" s="359">
        <f t="shared" ca="1" si="422"/>
        <v>-1.4344074970888685</v>
      </c>
      <c r="N947" s="357">
        <f t="shared" ca="1" si="423"/>
        <v>-82.185495685116081</v>
      </c>
      <c r="O947" s="343"/>
      <c r="P947" s="363">
        <f t="shared" ca="1" si="424"/>
        <v>23</v>
      </c>
      <c r="Q947" s="357">
        <f t="shared" ca="1" si="425"/>
        <v>0</v>
      </c>
      <c r="R947" s="359">
        <f t="shared" ca="1" si="426"/>
        <v>0</v>
      </c>
      <c r="S947" s="360">
        <f t="shared" ca="1" si="427"/>
        <v>8.6519999999999992</v>
      </c>
      <c r="T947" s="357">
        <f t="shared" ca="1" si="407"/>
        <v>84.87612</v>
      </c>
      <c r="U947" s="364">
        <f t="shared" ca="1" si="408"/>
        <v>0</v>
      </c>
      <c r="V947" s="359">
        <f t="shared" ca="1" si="409"/>
        <v>1.2267224665079186</v>
      </c>
      <c r="W947" s="357">
        <f t="shared" ca="1" si="410"/>
        <v>52.491868209659401</v>
      </c>
      <c r="X947" s="343"/>
      <c r="Y947" s="367" t="str">
        <f t="shared" ca="1" si="428"/>
        <v/>
      </c>
      <c r="Z947" s="368" t="str">
        <f t="shared" ca="1" si="429"/>
        <v/>
      </c>
      <c r="AA947" s="369" t="str">
        <f t="shared" ca="1" si="430"/>
        <v/>
      </c>
      <c r="AB947" s="344"/>
      <c r="AC947" s="363" t="e">
        <f t="shared" ca="1" si="431"/>
        <v>#N/A</v>
      </c>
      <c r="AD947" s="376" t="e">
        <f t="shared" ca="1" si="432"/>
        <v>#N/A</v>
      </c>
      <c r="AE947" s="377" t="e">
        <f t="shared" ca="1" si="411"/>
        <v>#N/A</v>
      </c>
      <c r="AF947" s="344"/>
      <c r="AG947" s="359">
        <f t="shared" ca="1" si="433"/>
        <v>3.6519168779458662</v>
      </c>
      <c r="AH947" s="357">
        <f t="shared" ca="1" si="434"/>
        <v>-6.0669807980333053</v>
      </c>
    </row>
    <row r="948" spans="1:34" x14ac:dyDescent="0.25">
      <c r="A948" s="402">
        <f t="shared" ca="1" si="412"/>
        <v>1E-4</v>
      </c>
      <c r="B948" s="357">
        <f t="shared" ca="1" si="413"/>
        <v>35.62280000000095</v>
      </c>
      <c r="C948" s="342"/>
      <c r="D948" s="359">
        <f t="shared" ca="1" si="414"/>
        <v>-0.82491088571886861</v>
      </c>
      <c r="E948" s="360">
        <f t="shared" ca="1" si="415"/>
        <v>-3.7993203898420935</v>
      </c>
      <c r="F948" s="357">
        <f t="shared" ca="1" si="416"/>
        <v>3.8878417398406748</v>
      </c>
      <c r="G948" s="359">
        <f t="shared" ca="1" si="417"/>
        <v>18.694447985139821</v>
      </c>
      <c r="H948" s="360">
        <f t="shared" ca="1" si="418"/>
        <v>-136.21731572507247</v>
      </c>
      <c r="I948" s="357">
        <f t="shared" ca="1" si="419"/>
        <v>137.49414347096086</v>
      </c>
      <c r="J948" s="359">
        <f t="shared" ca="1" si="420"/>
        <v>1009.0500868209435</v>
      </c>
      <c r="K948" s="360">
        <f t="shared" ca="1" si="421"/>
        <v>-14.064694225460697</v>
      </c>
      <c r="L948" s="357">
        <f t="shared" ca="1" si="406"/>
        <v>1009.1481027763018</v>
      </c>
      <c r="M948" s="359">
        <f t="shared" ca="1" si="422"/>
        <v>-1.4344084671884632</v>
      </c>
      <c r="N948" s="357">
        <f t="shared" ca="1" si="423"/>
        <v>-82.18555126772857</v>
      </c>
      <c r="O948" s="343"/>
      <c r="P948" s="363">
        <f t="shared" ca="1" si="424"/>
        <v>23</v>
      </c>
      <c r="Q948" s="357">
        <f t="shared" ca="1" si="425"/>
        <v>0</v>
      </c>
      <c r="R948" s="359">
        <f t="shared" ca="1" si="426"/>
        <v>0</v>
      </c>
      <c r="S948" s="360">
        <f t="shared" ca="1" si="427"/>
        <v>8.6519999999999992</v>
      </c>
      <c r="T948" s="357">
        <f t="shared" ca="1" si="407"/>
        <v>84.87612</v>
      </c>
      <c r="U948" s="364">
        <f t="shared" ca="1" si="408"/>
        <v>0</v>
      </c>
      <c r="V948" s="359">
        <f t="shared" ca="1" si="409"/>
        <v>1.2267241375159672</v>
      </c>
      <c r="W948" s="357">
        <f t="shared" ca="1" si="410"/>
        <v>52.492218553538784</v>
      </c>
      <c r="X948" s="343"/>
      <c r="Y948" s="367" t="str">
        <f t="shared" ca="1" si="428"/>
        <v/>
      </c>
      <c r="Z948" s="368" t="str">
        <f t="shared" ca="1" si="429"/>
        <v/>
      </c>
      <c r="AA948" s="369" t="str">
        <f t="shared" ca="1" si="430"/>
        <v/>
      </c>
      <c r="AB948" s="344"/>
      <c r="AC948" s="363" t="e">
        <f t="shared" ca="1" si="431"/>
        <v>#N/A</v>
      </c>
      <c r="AD948" s="376" t="e">
        <f t="shared" ca="1" si="432"/>
        <v>#N/A</v>
      </c>
      <c r="AE948" s="377" t="e">
        <f t="shared" ca="1" si="411"/>
        <v>#N/A</v>
      </c>
      <c r="AF948" s="344"/>
      <c r="AG948" s="359">
        <f t="shared" ca="1" si="433"/>
        <v>3.6518776789527863</v>
      </c>
      <c r="AH948" s="357">
        <f t="shared" ca="1" si="434"/>
        <v>-6.0670212909916099</v>
      </c>
    </row>
    <row r="949" spans="1:34" x14ac:dyDescent="0.25">
      <c r="A949" s="402">
        <f t="shared" ca="1" si="412"/>
        <v>1E-4</v>
      </c>
      <c r="B949" s="357">
        <f t="shared" ca="1" si="413"/>
        <v>35.622900000000953</v>
      </c>
      <c r="C949" s="342"/>
      <c r="D949" s="359">
        <f t="shared" ca="1" si="414"/>
        <v>-0.82491056038362864</v>
      </c>
      <c r="E949" s="360">
        <f t="shared" ca="1" si="415"/>
        <v>-3.7992794728122723</v>
      </c>
      <c r="F949" s="357">
        <f t="shared" ca="1" si="416"/>
        <v>3.8878016854213553</v>
      </c>
      <c r="G949" s="359">
        <f t="shared" ca="1" si="417"/>
        <v>18.694365494083783</v>
      </c>
      <c r="H949" s="360">
        <f t="shared" ca="1" si="418"/>
        <v>-136.21769565301975</v>
      </c>
      <c r="I949" s="357">
        <f t="shared" ca="1" si="419"/>
        <v>137.49450865487358</v>
      </c>
      <c r="J949" s="359">
        <f t="shared" ca="1" si="420"/>
        <v>1009.0500868209435</v>
      </c>
      <c r="K949" s="360">
        <f t="shared" ca="1" si="421"/>
        <v>-14.078315976029602</v>
      </c>
      <c r="L949" s="357">
        <f t="shared" ca="1" si="406"/>
        <v>1009.1482927172174</v>
      </c>
      <c r="M949" s="359">
        <f t="shared" ca="1" si="422"/>
        <v>-1.434409437278624</v>
      </c>
      <c r="N949" s="357">
        <f t="shared" ca="1" si="423"/>
        <v>-82.185606849800536</v>
      </c>
      <c r="O949" s="343"/>
      <c r="P949" s="363">
        <f t="shared" ca="1" si="424"/>
        <v>23</v>
      </c>
      <c r="Q949" s="357">
        <f t="shared" ca="1" si="425"/>
        <v>0</v>
      </c>
      <c r="R949" s="359">
        <f t="shared" ca="1" si="426"/>
        <v>0</v>
      </c>
      <c r="S949" s="360">
        <f t="shared" ca="1" si="427"/>
        <v>8.6519999999999992</v>
      </c>
      <c r="T949" s="357">
        <f t="shared" ca="1" si="407"/>
        <v>84.87612</v>
      </c>
      <c r="U949" s="364">
        <f t="shared" ca="1" si="408"/>
        <v>0</v>
      </c>
      <c r="V949" s="359">
        <f t="shared" ca="1" si="409"/>
        <v>1.2267258085309543</v>
      </c>
      <c r="W949" s="357">
        <f t="shared" ca="1" si="410"/>
        <v>52.492568896222274</v>
      </c>
      <c r="X949" s="343"/>
      <c r="Y949" s="367" t="str">
        <f t="shared" ca="1" si="428"/>
        <v/>
      </c>
      <c r="Z949" s="368" t="str">
        <f t="shared" ca="1" si="429"/>
        <v/>
      </c>
      <c r="AA949" s="369" t="str">
        <f t="shared" ca="1" si="430"/>
        <v/>
      </c>
      <c r="AB949" s="344"/>
      <c r="AC949" s="363" t="e">
        <f t="shared" ca="1" si="431"/>
        <v>#N/A</v>
      </c>
      <c r="AD949" s="376" t="e">
        <f t="shared" ca="1" si="432"/>
        <v>#N/A</v>
      </c>
      <c r="AE949" s="377" t="e">
        <f t="shared" ca="1" si="411"/>
        <v>#N/A</v>
      </c>
      <c r="AF949" s="344"/>
      <c r="AG949" s="359">
        <f t="shared" ca="1" si="433"/>
        <v>3.6518384800761936</v>
      </c>
      <c r="AH949" s="357">
        <f t="shared" ca="1" si="434"/>
        <v>-6.0670617838116954</v>
      </c>
    </row>
    <row r="950" spans="1:34" x14ac:dyDescent="0.25">
      <c r="A950" s="402">
        <f t="shared" ca="1" si="412"/>
        <v>1E-4</v>
      </c>
      <c r="B950" s="357">
        <f t="shared" ca="1" si="413"/>
        <v>35.623000000000957</v>
      </c>
      <c r="C950" s="342"/>
      <c r="D950" s="359">
        <f t="shared" ca="1" si="414"/>
        <v>-0.82491023500768867</v>
      </c>
      <c r="E950" s="360">
        <f t="shared" ca="1" si="415"/>
        <v>-3.7992385559221464</v>
      </c>
      <c r="F950" s="357">
        <f t="shared" ca="1" si="416"/>
        <v>3.8877616311479075</v>
      </c>
      <c r="G950" s="359">
        <f t="shared" ca="1" si="417"/>
        <v>18.694283003060281</v>
      </c>
      <c r="H950" s="360">
        <f t="shared" ca="1" si="418"/>
        <v>-136.21807557687535</v>
      </c>
      <c r="I950" s="357">
        <f t="shared" ca="1" si="419"/>
        <v>137.49487383486641</v>
      </c>
      <c r="J950" s="359">
        <f t="shared" ca="1" si="420"/>
        <v>1009.0500868209435</v>
      </c>
      <c r="K950" s="360">
        <f t="shared" ca="1" si="421"/>
        <v>-14.091937764591096</v>
      </c>
      <c r="L950" s="357">
        <f t="shared" ca="1" si="406"/>
        <v>1009.1484828424976</v>
      </c>
      <c r="M950" s="359">
        <f t="shared" ca="1" si="422"/>
        <v>-1.4344104073593515</v>
      </c>
      <c r="N950" s="357">
        <f t="shared" ca="1" si="423"/>
        <v>-82.185662431332005</v>
      </c>
      <c r="O950" s="343"/>
      <c r="P950" s="363">
        <f t="shared" ca="1" si="424"/>
        <v>23</v>
      </c>
      <c r="Q950" s="357">
        <f t="shared" ca="1" si="425"/>
        <v>0</v>
      </c>
      <c r="R950" s="359">
        <f t="shared" ca="1" si="426"/>
        <v>0</v>
      </c>
      <c r="S950" s="360">
        <f t="shared" ca="1" si="427"/>
        <v>8.6519999999999992</v>
      </c>
      <c r="T950" s="357">
        <f t="shared" ca="1" si="407"/>
        <v>84.87612</v>
      </c>
      <c r="U950" s="364">
        <f t="shared" ca="1" si="408"/>
        <v>0</v>
      </c>
      <c r="V950" s="359">
        <f t="shared" ca="1" si="409"/>
        <v>1.22672747955288</v>
      </c>
      <c r="W950" s="357">
        <f t="shared" ca="1" si="410"/>
        <v>52.492919237709856</v>
      </c>
      <c r="X950" s="343"/>
      <c r="Y950" s="367" t="str">
        <f t="shared" ca="1" si="428"/>
        <v/>
      </c>
      <c r="Z950" s="368" t="str">
        <f t="shared" ca="1" si="429"/>
        <v/>
      </c>
      <c r="AA950" s="369" t="str">
        <f t="shared" ca="1" si="430"/>
        <v/>
      </c>
      <c r="AB950" s="344"/>
      <c r="AC950" s="363" t="e">
        <f t="shared" ca="1" si="431"/>
        <v>#N/A</v>
      </c>
      <c r="AD950" s="376" t="e">
        <f t="shared" ca="1" si="432"/>
        <v>#N/A</v>
      </c>
      <c r="AE950" s="377" t="e">
        <f t="shared" ca="1" si="411"/>
        <v>#N/A</v>
      </c>
      <c r="AF950" s="344"/>
      <c r="AG950" s="359">
        <f t="shared" ca="1" si="433"/>
        <v>3.6517992813160953</v>
      </c>
      <c r="AH950" s="357">
        <f t="shared" ca="1" si="434"/>
        <v>-6.0671022764935598</v>
      </c>
    </row>
    <row r="951" spans="1:34" x14ac:dyDescent="0.25">
      <c r="A951" s="402">
        <f t="shared" ca="1" si="412"/>
        <v>1E-4</v>
      </c>
      <c r="B951" s="357">
        <f t="shared" ca="1" si="413"/>
        <v>35.62310000000096</v>
      </c>
      <c r="C951" s="342"/>
      <c r="D951" s="359">
        <f t="shared" ca="1" si="414"/>
        <v>-0.8249099095910476</v>
      </c>
      <c r="E951" s="360">
        <f t="shared" ca="1" si="415"/>
        <v>-3.7991976391717159</v>
      </c>
      <c r="F951" s="357">
        <f t="shared" ca="1" si="416"/>
        <v>3.8877215770203311</v>
      </c>
      <c r="G951" s="359">
        <f t="shared" ca="1" si="417"/>
        <v>18.694200512069322</v>
      </c>
      <c r="H951" s="360">
        <f t="shared" ca="1" si="418"/>
        <v>-136.21845549663928</v>
      </c>
      <c r="I951" s="357">
        <f t="shared" ca="1" si="419"/>
        <v>137.4952390109394</v>
      </c>
      <c r="J951" s="359">
        <f t="shared" ca="1" si="420"/>
        <v>1009.0500868209435</v>
      </c>
      <c r="K951" s="360">
        <f t="shared" ca="1" si="421"/>
        <v>-14.105559591144772</v>
      </c>
      <c r="L951" s="357">
        <f t="shared" ca="1" si="406"/>
        <v>1009.1486731521441</v>
      </c>
      <c r="M951" s="359">
        <f t="shared" ca="1" si="422"/>
        <v>-1.4344113774306453</v>
      </c>
      <c r="N951" s="357">
        <f t="shared" ca="1" si="423"/>
        <v>-82.185718012322965</v>
      </c>
      <c r="O951" s="343"/>
      <c r="P951" s="363">
        <f t="shared" ca="1" si="424"/>
        <v>23</v>
      </c>
      <c r="Q951" s="357">
        <f t="shared" ca="1" si="425"/>
        <v>0</v>
      </c>
      <c r="R951" s="359">
        <f t="shared" ca="1" si="426"/>
        <v>0</v>
      </c>
      <c r="S951" s="360">
        <f t="shared" ca="1" si="427"/>
        <v>8.6519999999999992</v>
      </c>
      <c r="T951" s="357">
        <f t="shared" ca="1" si="407"/>
        <v>84.87612</v>
      </c>
      <c r="U951" s="364">
        <f t="shared" ca="1" si="408"/>
        <v>0</v>
      </c>
      <c r="V951" s="359">
        <f t="shared" ca="1" si="409"/>
        <v>1.2267291505817439</v>
      </c>
      <c r="W951" s="357">
        <f t="shared" ca="1" si="410"/>
        <v>52.493269578001524</v>
      </c>
      <c r="X951" s="343"/>
      <c r="Y951" s="367" t="str">
        <f t="shared" ca="1" si="428"/>
        <v/>
      </c>
      <c r="Z951" s="368" t="str">
        <f t="shared" ca="1" si="429"/>
        <v/>
      </c>
      <c r="AA951" s="369" t="str">
        <f t="shared" ca="1" si="430"/>
        <v/>
      </c>
      <c r="AB951" s="344"/>
      <c r="AC951" s="363" t="e">
        <f t="shared" ca="1" si="431"/>
        <v>#N/A</v>
      </c>
      <c r="AD951" s="376" t="e">
        <f t="shared" ca="1" si="432"/>
        <v>#N/A</v>
      </c>
      <c r="AE951" s="377" t="e">
        <f t="shared" ca="1" si="411"/>
        <v>#N/A</v>
      </c>
      <c r="AF951" s="344"/>
      <c r="AG951" s="359">
        <f t="shared" ca="1" si="433"/>
        <v>3.6517600826724905</v>
      </c>
      <c r="AH951" s="357">
        <f t="shared" ca="1" si="434"/>
        <v>-6.0671427690372006</v>
      </c>
    </row>
    <row r="952" spans="1:34" x14ac:dyDescent="0.25">
      <c r="A952" s="402">
        <f t="shared" ca="1" si="412"/>
        <v>1E-4</v>
      </c>
      <c r="B952" s="357">
        <f t="shared" ca="1" si="413"/>
        <v>35.623200000000963</v>
      </c>
      <c r="C952" s="342"/>
      <c r="D952" s="359">
        <f t="shared" ca="1" si="414"/>
        <v>-0.82490958413370941</v>
      </c>
      <c r="E952" s="360">
        <f t="shared" ca="1" si="415"/>
        <v>-3.7991567225609826</v>
      </c>
      <c r="F952" s="357">
        <f t="shared" ca="1" si="416"/>
        <v>3.887681523038629</v>
      </c>
      <c r="G952" s="359">
        <f t="shared" ca="1" si="417"/>
        <v>18.69411802111091</v>
      </c>
      <c r="H952" s="360">
        <f t="shared" ca="1" si="418"/>
        <v>-136.21883541231153</v>
      </c>
      <c r="I952" s="357">
        <f t="shared" ca="1" si="419"/>
        <v>137.4956041830925</v>
      </c>
      <c r="J952" s="359">
        <f t="shared" ca="1" si="420"/>
        <v>1009.0500868209435</v>
      </c>
      <c r="K952" s="360">
        <f t="shared" ca="1" si="421"/>
        <v>-14.119181455690219</v>
      </c>
      <c r="L952" s="357">
        <f t="shared" ca="1" si="406"/>
        <v>1009.1488636461581</v>
      </c>
      <c r="M952" s="359">
        <f t="shared" ca="1" si="422"/>
        <v>-1.4344123474925057</v>
      </c>
      <c r="N952" s="357">
        <f t="shared" ca="1" si="423"/>
        <v>-82.18577359277343</v>
      </c>
      <c r="O952" s="343"/>
      <c r="P952" s="363">
        <f t="shared" ca="1" si="424"/>
        <v>23</v>
      </c>
      <c r="Q952" s="357">
        <f t="shared" ca="1" si="425"/>
        <v>0</v>
      </c>
      <c r="R952" s="359">
        <f t="shared" ca="1" si="426"/>
        <v>0</v>
      </c>
      <c r="S952" s="360">
        <f t="shared" ca="1" si="427"/>
        <v>8.6519999999999992</v>
      </c>
      <c r="T952" s="357">
        <f t="shared" ca="1" si="407"/>
        <v>84.87612</v>
      </c>
      <c r="U952" s="364">
        <f t="shared" ca="1" si="408"/>
        <v>0</v>
      </c>
      <c r="V952" s="359">
        <f t="shared" ca="1" si="409"/>
        <v>1.2267308216175465</v>
      </c>
      <c r="W952" s="357">
        <f t="shared" ca="1" si="410"/>
        <v>52.493619917097199</v>
      </c>
      <c r="X952" s="343"/>
      <c r="Y952" s="367" t="str">
        <f t="shared" ca="1" si="428"/>
        <v/>
      </c>
      <c r="Z952" s="368" t="str">
        <f t="shared" ca="1" si="429"/>
        <v/>
      </c>
      <c r="AA952" s="369" t="str">
        <f t="shared" ca="1" si="430"/>
        <v/>
      </c>
      <c r="AB952" s="344"/>
      <c r="AC952" s="363" t="e">
        <f t="shared" ca="1" si="431"/>
        <v>#N/A</v>
      </c>
      <c r="AD952" s="376" t="e">
        <f t="shared" ca="1" si="432"/>
        <v>#N/A</v>
      </c>
      <c r="AE952" s="377" t="e">
        <f t="shared" ca="1" si="411"/>
        <v>#N/A</v>
      </c>
      <c r="AF952" s="344"/>
      <c r="AG952" s="359">
        <f t="shared" ca="1" si="433"/>
        <v>3.651720884145381</v>
      </c>
      <c r="AH952" s="357">
        <f t="shared" ca="1" si="434"/>
        <v>-6.0671832614426178</v>
      </c>
    </row>
    <row r="953" spans="1:34" x14ac:dyDescent="0.25">
      <c r="A953" s="402">
        <f t="shared" ca="1" si="412"/>
        <v>1E-4</v>
      </c>
      <c r="B953" s="357">
        <f t="shared" ca="1" si="413"/>
        <v>35.623300000000967</v>
      </c>
      <c r="C953" s="342"/>
      <c r="D953" s="359">
        <f t="shared" ca="1" si="414"/>
        <v>-0.82490925863567177</v>
      </c>
      <c r="E953" s="360">
        <f t="shared" ca="1" si="415"/>
        <v>-3.7991158060899561</v>
      </c>
      <c r="F953" s="357">
        <f t="shared" ca="1" si="416"/>
        <v>3.8876414692028107</v>
      </c>
      <c r="G953" s="359">
        <f t="shared" ca="1" si="417"/>
        <v>18.694035530185047</v>
      </c>
      <c r="H953" s="360">
        <f t="shared" ca="1" si="418"/>
        <v>-136.21921532389214</v>
      </c>
      <c r="I953" s="357">
        <f t="shared" ca="1" si="419"/>
        <v>137.49596935132575</v>
      </c>
      <c r="J953" s="359">
        <f t="shared" ca="1" si="420"/>
        <v>1009.0500868209435</v>
      </c>
      <c r="K953" s="360">
        <f t="shared" ca="1" si="421"/>
        <v>-14.132803358227029</v>
      </c>
      <c r="L953" s="357">
        <f t="shared" ca="1" si="406"/>
        <v>1009.1490543245412</v>
      </c>
      <c r="M953" s="359">
        <f t="shared" ca="1" si="422"/>
        <v>-1.434413317544933</v>
      </c>
      <c r="N953" s="357">
        <f t="shared" ca="1" si="423"/>
        <v>-82.185829172683412</v>
      </c>
      <c r="O953" s="343"/>
      <c r="P953" s="363">
        <f t="shared" ca="1" si="424"/>
        <v>23</v>
      </c>
      <c r="Q953" s="357">
        <f t="shared" ca="1" si="425"/>
        <v>0</v>
      </c>
      <c r="R953" s="359">
        <f t="shared" ca="1" si="426"/>
        <v>0</v>
      </c>
      <c r="S953" s="360">
        <f t="shared" ca="1" si="427"/>
        <v>8.6519999999999992</v>
      </c>
      <c r="T953" s="357">
        <f t="shared" ca="1" si="407"/>
        <v>84.87612</v>
      </c>
      <c r="U953" s="364">
        <f t="shared" ca="1" si="408"/>
        <v>0</v>
      </c>
      <c r="V953" s="359">
        <f t="shared" ca="1" si="409"/>
        <v>1.2267324926602876</v>
      </c>
      <c r="W953" s="357">
        <f t="shared" ca="1" si="410"/>
        <v>52.493970254996917</v>
      </c>
      <c r="X953" s="343"/>
      <c r="Y953" s="367" t="str">
        <f t="shared" ca="1" si="428"/>
        <v/>
      </c>
      <c r="Z953" s="368" t="str">
        <f t="shared" ca="1" si="429"/>
        <v/>
      </c>
      <c r="AA953" s="369" t="str">
        <f t="shared" ca="1" si="430"/>
        <v/>
      </c>
      <c r="AB953" s="344"/>
      <c r="AC953" s="363" t="e">
        <f t="shared" ca="1" si="431"/>
        <v>#N/A</v>
      </c>
      <c r="AD953" s="376" t="e">
        <f t="shared" ca="1" si="432"/>
        <v>#N/A</v>
      </c>
      <c r="AE953" s="377" t="e">
        <f t="shared" ca="1" si="411"/>
        <v>#N/A</v>
      </c>
      <c r="AF953" s="344"/>
      <c r="AG953" s="359">
        <f t="shared" ca="1" si="433"/>
        <v>3.6516816857347765</v>
      </c>
      <c r="AH953" s="357">
        <f t="shared" ca="1" si="434"/>
        <v>-6.0672237537098015</v>
      </c>
    </row>
    <row r="954" spans="1:34" x14ac:dyDescent="0.25">
      <c r="A954" s="402">
        <f t="shared" ca="1" si="412"/>
        <v>1E-4</v>
      </c>
      <c r="B954" s="357">
        <f t="shared" ca="1" si="413"/>
        <v>35.62340000000097</v>
      </c>
      <c r="C954" s="342"/>
      <c r="D954" s="359">
        <f t="shared" ca="1" si="414"/>
        <v>-0.82490893309693536</v>
      </c>
      <c r="E954" s="360">
        <f t="shared" ca="1" si="415"/>
        <v>-3.7990748897586322</v>
      </c>
      <c r="F954" s="357">
        <f t="shared" ca="1" si="416"/>
        <v>3.8876014155128722</v>
      </c>
      <c r="G954" s="359">
        <f t="shared" ca="1" si="417"/>
        <v>18.693953039291738</v>
      </c>
      <c r="H954" s="360">
        <f t="shared" ca="1" si="418"/>
        <v>-136.21959523138111</v>
      </c>
      <c r="I954" s="357">
        <f t="shared" ca="1" si="419"/>
        <v>137.49633451563918</v>
      </c>
      <c r="J954" s="359">
        <f t="shared" ca="1" si="420"/>
        <v>1009.0500868209435</v>
      </c>
      <c r="K954" s="360">
        <f t="shared" ca="1" si="421"/>
        <v>-14.146425298754792</v>
      </c>
      <c r="L954" s="357">
        <f t="shared" ca="1" si="406"/>
        <v>1009.1492451872948</v>
      </c>
      <c r="M954" s="359">
        <f t="shared" ca="1" si="422"/>
        <v>-1.4344142875879271</v>
      </c>
      <c r="N954" s="357">
        <f t="shared" ca="1" si="423"/>
        <v>-82.185884752052928</v>
      </c>
      <c r="O954" s="343"/>
      <c r="P954" s="363">
        <f t="shared" ca="1" si="424"/>
        <v>23</v>
      </c>
      <c r="Q954" s="357">
        <f t="shared" ca="1" si="425"/>
        <v>0</v>
      </c>
      <c r="R954" s="359">
        <f t="shared" ca="1" si="426"/>
        <v>0</v>
      </c>
      <c r="S954" s="360">
        <f t="shared" ca="1" si="427"/>
        <v>8.6519999999999992</v>
      </c>
      <c r="T954" s="357">
        <f t="shared" ca="1" si="407"/>
        <v>84.87612</v>
      </c>
      <c r="U954" s="364">
        <f t="shared" ca="1" si="408"/>
        <v>0</v>
      </c>
      <c r="V954" s="359">
        <f t="shared" ca="1" si="409"/>
        <v>1.2267341637099662</v>
      </c>
      <c r="W954" s="357">
        <f t="shared" ca="1" si="410"/>
        <v>52.494320591700593</v>
      </c>
      <c r="X954" s="343"/>
      <c r="Y954" s="367" t="str">
        <f t="shared" ca="1" si="428"/>
        <v/>
      </c>
      <c r="Z954" s="368" t="str">
        <f t="shared" ca="1" si="429"/>
        <v/>
      </c>
      <c r="AA954" s="369" t="str">
        <f t="shared" ca="1" si="430"/>
        <v/>
      </c>
      <c r="AB954" s="344"/>
      <c r="AC954" s="363" t="e">
        <f t="shared" ca="1" si="431"/>
        <v>#N/A</v>
      </c>
      <c r="AD954" s="376" t="e">
        <f t="shared" ca="1" si="432"/>
        <v>#N/A</v>
      </c>
      <c r="AE954" s="377" t="e">
        <f t="shared" ca="1" si="411"/>
        <v>#N/A</v>
      </c>
      <c r="AF954" s="344"/>
      <c r="AG954" s="359">
        <f t="shared" ca="1" si="433"/>
        <v>3.6516424874406725</v>
      </c>
      <c r="AH954" s="357">
        <f t="shared" ca="1" si="434"/>
        <v>-6.0672642458387562</v>
      </c>
    </row>
    <row r="955" spans="1:34" x14ac:dyDescent="0.25">
      <c r="A955" s="402">
        <f t="shared" ca="1" si="412"/>
        <v>1E-4</v>
      </c>
      <c r="B955" s="357">
        <f t="shared" ca="1" si="413"/>
        <v>35.623500000000973</v>
      </c>
      <c r="C955" s="342"/>
      <c r="D955" s="359">
        <f t="shared" ca="1" si="414"/>
        <v>-0.8249086075175005</v>
      </c>
      <c r="E955" s="360">
        <f t="shared" ca="1" si="415"/>
        <v>-3.7990339735670196</v>
      </c>
      <c r="F955" s="357">
        <f t="shared" ca="1" si="416"/>
        <v>3.8875613619688218</v>
      </c>
      <c r="G955" s="359">
        <f t="shared" ca="1" si="417"/>
        <v>18.693870548430986</v>
      </c>
      <c r="H955" s="360">
        <f t="shared" ca="1" si="418"/>
        <v>-136.21997513477845</v>
      </c>
      <c r="I955" s="357">
        <f t="shared" ca="1" si="419"/>
        <v>137.49669967603279</v>
      </c>
      <c r="J955" s="359">
        <f t="shared" ca="1" si="420"/>
        <v>1009.0500868209435</v>
      </c>
      <c r="K955" s="360">
        <f t="shared" ca="1" si="421"/>
        <v>-14.160047277273101</v>
      </c>
      <c r="L955" s="357">
        <f t="shared" ca="1" si="406"/>
        <v>1009.1494362344203</v>
      </c>
      <c r="M955" s="359">
        <f t="shared" ca="1" si="422"/>
        <v>-1.4344152576214881</v>
      </c>
      <c r="N955" s="357">
        <f t="shared" ca="1" si="423"/>
        <v>-82.185940330881962</v>
      </c>
      <c r="O955" s="343"/>
      <c r="P955" s="363">
        <f t="shared" ca="1" si="424"/>
        <v>23</v>
      </c>
      <c r="Q955" s="357">
        <f t="shared" ca="1" si="425"/>
        <v>0</v>
      </c>
      <c r="R955" s="359">
        <f t="shared" ca="1" si="426"/>
        <v>0</v>
      </c>
      <c r="S955" s="360">
        <f t="shared" ca="1" si="427"/>
        <v>8.6519999999999992</v>
      </c>
      <c r="T955" s="357">
        <f t="shared" ca="1" si="407"/>
        <v>84.87612</v>
      </c>
      <c r="U955" s="364">
        <f t="shared" ca="1" si="408"/>
        <v>0</v>
      </c>
      <c r="V955" s="359">
        <f t="shared" ca="1" si="409"/>
        <v>1.2267358347665842</v>
      </c>
      <c r="W955" s="357">
        <f t="shared" ca="1" si="410"/>
        <v>52.494670927208311</v>
      </c>
      <c r="X955" s="343"/>
      <c r="Y955" s="367" t="str">
        <f t="shared" ca="1" si="428"/>
        <v/>
      </c>
      <c r="Z955" s="368" t="str">
        <f t="shared" ca="1" si="429"/>
        <v/>
      </c>
      <c r="AA955" s="369" t="str">
        <f t="shared" ca="1" si="430"/>
        <v/>
      </c>
      <c r="AB955" s="344"/>
      <c r="AC955" s="363" t="e">
        <f t="shared" ca="1" si="431"/>
        <v>#N/A</v>
      </c>
      <c r="AD955" s="376" t="e">
        <f t="shared" ca="1" si="432"/>
        <v>#N/A</v>
      </c>
      <c r="AE955" s="377" t="e">
        <f t="shared" ca="1" si="411"/>
        <v>#N/A</v>
      </c>
      <c r="AF955" s="344"/>
      <c r="AG955" s="359">
        <f t="shared" ca="1" si="433"/>
        <v>3.6516032892630825</v>
      </c>
      <c r="AH955" s="357">
        <f t="shared" ca="1" si="434"/>
        <v>-6.0673047378294722</v>
      </c>
    </row>
    <row r="956" spans="1:34" x14ac:dyDescent="0.25">
      <c r="A956" s="402">
        <f t="shared" ca="1" si="412"/>
        <v>1E-4</v>
      </c>
      <c r="B956" s="357">
        <f t="shared" ca="1" si="413"/>
        <v>35.623600000000977</v>
      </c>
      <c r="C956" s="342"/>
      <c r="D956" s="359">
        <f t="shared" ca="1" si="414"/>
        <v>-0.8249082818973702</v>
      </c>
      <c r="E956" s="360">
        <f t="shared" ca="1" si="415"/>
        <v>-3.7989930575151094</v>
      </c>
      <c r="F956" s="357">
        <f t="shared" ca="1" si="416"/>
        <v>3.8875213085706513</v>
      </c>
      <c r="G956" s="359">
        <f t="shared" ca="1" si="417"/>
        <v>18.693788057602795</v>
      </c>
      <c r="H956" s="360">
        <f t="shared" ca="1" si="418"/>
        <v>-136.22035503408421</v>
      </c>
      <c r="I956" s="357">
        <f t="shared" ca="1" si="419"/>
        <v>137.4970648325066</v>
      </c>
      <c r="J956" s="359">
        <f t="shared" ca="1" si="420"/>
        <v>1009.0500868209435</v>
      </c>
      <c r="K956" s="360">
        <f t="shared" ca="1" si="421"/>
        <v>-14.173669293781543</v>
      </c>
      <c r="L956" s="357">
        <f t="shared" ca="1" si="406"/>
        <v>1009.149627465919</v>
      </c>
      <c r="M956" s="359">
        <f t="shared" ca="1" si="422"/>
        <v>-1.4344162276456167</v>
      </c>
      <c r="N956" s="357">
        <f t="shared" ca="1" si="423"/>
        <v>-82.185995909170558</v>
      </c>
      <c r="O956" s="343"/>
      <c r="P956" s="363">
        <f t="shared" ca="1" si="424"/>
        <v>23</v>
      </c>
      <c r="Q956" s="357">
        <f t="shared" ca="1" si="425"/>
        <v>0</v>
      </c>
      <c r="R956" s="359">
        <f t="shared" ca="1" si="426"/>
        <v>0</v>
      </c>
      <c r="S956" s="360">
        <f t="shared" ca="1" si="427"/>
        <v>8.6519999999999992</v>
      </c>
      <c r="T956" s="357">
        <f t="shared" ca="1" si="407"/>
        <v>84.87612</v>
      </c>
      <c r="U956" s="364">
        <f t="shared" ca="1" si="408"/>
        <v>0</v>
      </c>
      <c r="V956" s="359">
        <f t="shared" ca="1" si="409"/>
        <v>1.2267375058301397</v>
      </c>
      <c r="W956" s="357">
        <f t="shared" ca="1" si="410"/>
        <v>52.495021261519952</v>
      </c>
      <c r="X956" s="343"/>
      <c r="Y956" s="367" t="str">
        <f t="shared" ca="1" si="428"/>
        <v/>
      </c>
      <c r="Z956" s="368" t="str">
        <f t="shared" ca="1" si="429"/>
        <v/>
      </c>
      <c r="AA956" s="369" t="str">
        <f t="shared" ca="1" si="430"/>
        <v/>
      </c>
      <c r="AB956" s="344"/>
      <c r="AC956" s="363" t="e">
        <f t="shared" ca="1" si="431"/>
        <v>#N/A</v>
      </c>
      <c r="AD956" s="376" t="e">
        <f t="shared" ca="1" si="432"/>
        <v>#N/A</v>
      </c>
      <c r="AE956" s="377" t="e">
        <f t="shared" ca="1" si="411"/>
        <v>#N/A</v>
      </c>
      <c r="AF956" s="344"/>
      <c r="AG956" s="359">
        <f t="shared" ca="1" si="433"/>
        <v>3.6515640912019922</v>
      </c>
      <c r="AH956" s="357">
        <f t="shared" ca="1" si="434"/>
        <v>-6.0673452296819601</v>
      </c>
    </row>
    <row r="957" spans="1:34" x14ac:dyDescent="0.25">
      <c r="A957" s="402">
        <f t="shared" ca="1" si="412"/>
        <v>1E-4</v>
      </c>
      <c r="B957" s="357">
        <f t="shared" ca="1" si="413"/>
        <v>35.62370000000098</v>
      </c>
      <c r="C957" s="342"/>
      <c r="D957" s="359">
        <f t="shared" ca="1" si="414"/>
        <v>-0.8249079562365399</v>
      </c>
      <c r="E957" s="360">
        <f t="shared" ca="1" si="415"/>
        <v>-3.7989521416029151</v>
      </c>
      <c r="F957" s="357">
        <f t="shared" ca="1" si="416"/>
        <v>3.8874812553183737</v>
      </c>
      <c r="G957" s="359">
        <f t="shared" ca="1" si="417"/>
        <v>18.693705566807171</v>
      </c>
      <c r="H957" s="360">
        <f t="shared" ca="1" si="418"/>
        <v>-136.22073492929837</v>
      </c>
      <c r="I957" s="357">
        <f t="shared" ca="1" si="419"/>
        <v>137.49742998506062</v>
      </c>
      <c r="J957" s="359">
        <f t="shared" ca="1" si="420"/>
        <v>1009.0500868209435</v>
      </c>
      <c r="K957" s="360">
        <f t="shared" ca="1" si="421"/>
        <v>-14.187291348279713</v>
      </c>
      <c r="L957" s="357">
        <f t="shared" ca="1" si="406"/>
        <v>1009.1498188817925</v>
      </c>
      <c r="M957" s="359">
        <f t="shared" ca="1" si="422"/>
        <v>-1.4344171976603124</v>
      </c>
      <c r="N957" s="357">
        <f t="shared" ca="1" si="423"/>
        <v>-82.186051486918686</v>
      </c>
      <c r="O957" s="343"/>
      <c r="P957" s="363">
        <f t="shared" ca="1" si="424"/>
        <v>23</v>
      </c>
      <c r="Q957" s="357">
        <f t="shared" ca="1" si="425"/>
        <v>0</v>
      </c>
      <c r="R957" s="359">
        <f t="shared" ca="1" si="426"/>
        <v>0</v>
      </c>
      <c r="S957" s="360">
        <f t="shared" ca="1" si="427"/>
        <v>8.6519999999999992</v>
      </c>
      <c r="T957" s="357">
        <f t="shared" ca="1" si="407"/>
        <v>84.87612</v>
      </c>
      <c r="U957" s="364">
        <f t="shared" ca="1" si="408"/>
        <v>0</v>
      </c>
      <c r="V957" s="359">
        <f t="shared" ca="1" si="409"/>
        <v>1.2267391769006342</v>
      </c>
      <c r="W957" s="357">
        <f t="shared" ca="1" si="410"/>
        <v>52.495371594635579</v>
      </c>
      <c r="X957" s="343"/>
      <c r="Y957" s="367" t="str">
        <f t="shared" ca="1" si="428"/>
        <v/>
      </c>
      <c r="Z957" s="368" t="str">
        <f t="shared" ca="1" si="429"/>
        <v/>
      </c>
      <c r="AA957" s="369" t="str">
        <f t="shared" ca="1" si="430"/>
        <v/>
      </c>
      <c r="AB957" s="344"/>
      <c r="AC957" s="363" t="e">
        <f t="shared" ca="1" si="431"/>
        <v>#N/A</v>
      </c>
      <c r="AD957" s="376" t="e">
        <f t="shared" ca="1" si="432"/>
        <v>#N/A</v>
      </c>
      <c r="AE957" s="377" t="e">
        <f t="shared" ca="1" si="411"/>
        <v>#N/A</v>
      </c>
      <c r="AF957" s="344"/>
      <c r="AG957" s="359">
        <f t="shared" ca="1" si="433"/>
        <v>3.6515248932574229</v>
      </c>
      <c r="AH957" s="357">
        <f t="shared" ca="1" si="434"/>
        <v>-6.0673857213962039</v>
      </c>
    </row>
    <row r="958" spans="1:34" x14ac:dyDescent="0.25">
      <c r="A958" s="402">
        <f t="shared" ca="1" si="412"/>
        <v>1E-4</v>
      </c>
      <c r="B958" s="357">
        <f t="shared" ca="1" si="413"/>
        <v>35.623800000000983</v>
      </c>
      <c r="C958" s="342"/>
      <c r="D958" s="359">
        <f t="shared" ca="1" si="414"/>
        <v>-0.8249076305350147</v>
      </c>
      <c r="E958" s="360">
        <f t="shared" ca="1" si="415"/>
        <v>-3.7989112258304294</v>
      </c>
      <c r="F958" s="357">
        <f t="shared" ca="1" si="416"/>
        <v>3.8874412022119831</v>
      </c>
      <c r="G958" s="359">
        <f t="shared" ca="1" si="417"/>
        <v>18.693623076044119</v>
      </c>
      <c r="H958" s="360">
        <f t="shared" ca="1" si="418"/>
        <v>-136.22111482042095</v>
      </c>
      <c r="I958" s="357">
        <f t="shared" ca="1" si="419"/>
        <v>137.49779513369484</v>
      </c>
      <c r="J958" s="359">
        <f t="shared" ca="1" si="420"/>
        <v>1009.0500868209435</v>
      </c>
      <c r="K958" s="360">
        <f t="shared" ca="1" si="421"/>
        <v>-14.200913440767199</v>
      </c>
      <c r="L958" s="357">
        <f t="shared" ca="1" si="406"/>
        <v>1009.1500104820421</v>
      </c>
      <c r="M958" s="359">
        <f t="shared" ca="1" si="422"/>
        <v>-1.4344181676655756</v>
      </c>
      <c r="N958" s="357">
        <f t="shared" ca="1" si="423"/>
        <v>-82.186107064126375</v>
      </c>
      <c r="O958" s="343"/>
      <c r="P958" s="363">
        <f t="shared" ca="1" si="424"/>
        <v>23</v>
      </c>
      <c r="Q958" s="357">
        <f t="shared" ca="1" si="425"/>
        <v>0</v>
      </c>
      <c r="R958" s="359">
        <f t="shared" ca="1" si="426"/>
        <v>0</v>
      </c>
      <c r="S958" s="360">
        <f t="shared" ca="1" si="427"/>
        <v>8.6519999999999992</v>
      </c>
      <c r="T958" s="357">
        <f t="shared" ca="1" si="407"/>
        <v>84.87612</v>
      </c>
      <c r="U958" s="364">
        <f t="shared" ca="1" si="408"/>
        <v>0</v>
      </c>
      <c r="V958" s="359">
        <f t="shared" ca="1" si="409"/>
        <v>1.2267408479780666</v>
      </c>
      <c r="W958" s="357">
        <f t="shared" ca="1" si="410"/>
        <v>52.495721926555085</v>
      </c>
      <c r="X958" s="343"/>
      <c r="Y958" s="367" t="str">
        <f t="shared" ca="1" si="428"/>
        <v/>
      </c>
      <c r="Z958" s="368" t="str">
        <f t="shared" ca="1" si="429"/>
        <v/>
      </c>
      <c r="AA958" s="369" t="str">
        <f t="shared" ca="1" si="430"/>
        <v/>
      </c>
      <c r="AB958" s="344"/>
      <c r="AC958" s="363" t="e">
        <f t="shared" ca="1" si="431"/>
        <v>#N/A</v>
      </c>
      <c r="AD958" s="376" t="e">
        <f t="shared" ca="1" si="432"/>
        <v>#N/A</v>
      </c>
      <c r="AE958" s="377" t="e">
        <f t="shared" ca="1" si="411"/>
        <v>#N/A</v>
      </c>
      <c r="AF958" s="344"/>
      <c r="AG958" s="359">
        <f t="shared" ca="1" si="433"/>
        <v>3.6514856954293604</v>
      </c>
      <c r="AH958" s="357">
        <f t="shared" ca="1" si="434"/>
        <v>-6.0674262129722125</v>
      </c>
    </row>
    <row r="959" spans="1:34" x14ac:dyDescent="0.25">
      <c r="A959" s="402">
        <f t="shared" ca="1" si="412"/>
        <v>1E-4</v>
      </c>
      <c r="B959" s="357">
        <f t="shared" ca="1" si="413"/>
        <v>35.623900000000987</v>
      </c>
      <c r="C959" s="342"/>
      <c r="D959" s="359">
        <f t="shared" ca="1" si="414"/>
        <v>-0.82490730479279228</v>
      </c>
      <c r="E959" s="360">
        <f t="shared" ca="1" si="415"/>
        <v>-3.7988703101976657</v>
      </c>
      <c r="F959" s="357">
        <f t="shared" ca="1" si="416"/>
        <v>3.8874011492514917</v>
      </c>
      <c r="G959" s="359">
        <f t="shared" ca="1" si="417"/>
        <v>18.693540585313642</v>
      </c>
      <c r="H959" s="360">
        <f t="shared" ca="1" si="418"/>
        <v>-136.22149470745197</v>
      </c>
      <c r="I959" s="357">
        <f t="shared" ca="1" si="419"/>
        <v>137.4981602784093</v>
      </c>
      <c r="J959" s="359">
        <f t="shared" ca="1" si="420"/>
        <v>1009.0500868209435</v>
      </c>
      <c r="K959" s="360">
        <f t="shared" ca="1" si="421"/>
        <v>-14.214535571243593</v>
      </c>
      <c r="L959" s="357">
        <f t="shared" ca="1" si="406"/>
        <v>1009.1502022666695</v>
      </c>
      <c r="M959" s="359">
        <f t="shared" ca="1" si="422"/>
        <v>-1.4344191376614066</v>
      </c>
      <c r="N959" s="357">
        <f t="shared" ca="1" si="423"/>
        <v>-82.18616264079364</v>
      </c>
      <c r="O959" s="343"/>
      <c r="P959" s="363">
        <f t="shared" ca="1" si="424"/>
        <v>23</v>
      </c>
      <c r="Q959" s="357">
        <f t="shared" ca="1" si="425"/>
        <v>0</v>
      </c>
      <c r="R959" s="359">
        <f t="shared" ca="1" si="426"/>
        <v>0</v>
      </c>
      <c r="S959" s="360">
        <f t="shared" ca="1" si="427"/>
        <v>8.6519999999999992</v>
      </c>
      <c r="T959" s="357">
        <f t="shared" ca="1" si="407"/>
        <v>84.87612</v>
      </c>
      <c r="U959" s="364">
        <f t="shared" ca="1" si="408"/>
        <v>0</v>
      </c>
      <c r="V959" s="359">
        <f t="shared" ca="1" si="409"/>
        <v>1.226742519062437</v>
      </c>
      <c r="W959" s="357">
        <f t="shared" ca="1" si="410"/>
        <v>52.496072257278506</v>
      </c>
      <c r="X959" s="343"/>
      <c r="Y959" s="367" t="str">
        <f t="shared" ca="1" si="428"/>
        <v/>
      </c>
      <c r="Z959" s="368" t="str">
        <f t="shared" ca="1" si="429"/>
        <v/>
      </c>
      <c r="AA959" s="369" t="str">
        <f t="shared" ca="1" si="430"/>
        <v/>
      </c>
      <c r="AB959" s="344"/>
      <c r="AC959" s="363" t="e">
        <f t="shared" ca="1" si="431"/>
        <v>#N/A</v>
      </c>
      <c r="AD959" s="376" t="e">
        <f t="shared" ca="1" si="432"/>
        <v>#N/A</v>
      </c>
      <c r="AE959" s="377" t="e">
        <f t="shared" ca="1" si="411"/>
        <v>#N/A</v>
      </c>
      <c r="AF959" s="344"/>
      <c r="AG959" s="359">
        <f t="shared" ca="1" si="433"/>
        <v>3.6514464977178207</v>
      </c>
      <c r="AH959" s="357">
        <f t="shared" ca="1" si="434"/>
        <v>-6.0674667044099735</v>
      </c>
    </row>
    <row r="960" spans="1:34" x14ac:dyDescent="0.25">
      <c r="A960" s="402">
        <f t="shared" ca="1" si="412"/>
        <v>1E-4</v>
      </c>
      <c r="B960" s="357">
        <f t="shared" ca="1" si="413"/>
        <v>35.62400000000099</v>
      </c>
      <c r="C960" s="342"/>
      <c r="D960" s="359">
        <f t="shared" ca="1" si="414"/>
        <v>-0.82490697900987298</v>
      </c>
      <c r="E960" s="360">
        <f t="shared" ca="1" si="415"/>
        <v>-3.7988293947046188</v>
      </c>
      <c r="F960" s="357">
        <f t="shared" ca="1" si="416"/>
        <v>3.8873610964368948</v>
      </c>
      <c r="G960" s="359">
        <f t="shared" ca="1" si="417"/>
        <v>18.693458094615739</v>
      </c>
      <c r="H960" s="360">
        <f t="shared" ca="1" si="418"/>
        <v>-136.22187459039145</v>
      </c>
      <c r="I960" s="357">
        <f t="shared" ca="1" si="419"/>
        <v>137.49852541920401</v>
      </c>
      <c r="J960" s="359">
        <f t="shared" ca="1" si="420"/>
        <v>1009.0500868209435</v>
      </c>
      <c r="K960" s="360">
        <f t="shared" ca="1" si="421"/>
        <v>-14.228157739708484</v>
      </c>
      <c r="L960" s="357">
        <f t="shared" ca="1" si="406"/>
        <v>1009.1503942356758</v>
      </c>
      <c r="M960" s="359">
        <f t="shared" ca="1" si="422"/>
        <v>-1.4344201076478054</v>
      </c>
      <c r="N960" s="357">
        <f t="shared" ca="1" si="423"/>
        <v>-82.186218216920466</v>
      </c>
      <c r="O960" s="343"/>
      <c r="P960" s="363">
        <f t="shared" ca="1" si="424"/>
        <v>23</v>
      </c>
      <c r="Q960" s="357">
        <f t="shared" ca="1" si="425"/>
        <v>0</v>
      </c>
      <c r="R960" s="359">
        <f t="shared" ca="1" si="426"/>
        <v>0</v>
      </c>
      <c r="S960" s="360">
        <f t="shared" ca="1" si="427"/>
        <v>8.6519999999999992</v>
      </c>
      <c r="T960" s="357">
        <f t="shared" ca="1" si="407"/>
        <v>84.87612</v>
      </c>
      <c r="U960" s="364">
        <f t="shared" ca="1" si="408"/>
        <v>0</v>
      </c>
      <c r="V960" s="359">
        <f t="shared" ca="1" si="409"/>
        <v>1.2267441901537459</v>
      </c>
      <c r="W960" s="357">
        <f t="shared" ca="1" si="410"/>
        <v>52.496422586805828</v>
      </c>
      <c r="X960" s="343"/>
      <c r="Y960" s="367" t="str">
        <f t="shared" ca="1" si="428"/>
        <v/>
      </c>
      <c r="Z960" s="368" t="str">
        <f t="shared" ca="1" si="429"/>
        <v/>
      </c>
      <c r="AA960" s="369" t="str">
        <f t="shared" ca="1" si="430"/>
        <v/>
      </c>
      <c r="AB960" s="344"/>
      <c r="AC960" s="363" t="e">
        <f t="shared" ca="1" si="431"/>
        <v>#N/A</v>
      </c>
      <c r="AD960" s="376" t="e">
        <f t="shared" ca="1" si="432"/>
        <v>#N/A</v>
      </c>
      <c r="AE960" s="377" t="e">
        <f t="shared" ca="1" si="411"/>
        <v>#N/A</v>
      </c>
      <c r="AF960" s="344"/>
      <c r="AG960" s="359">
        <f t="shared" ca="1" si="433"/>
        <v>3.651407300122802</v>
      </c>
      <c r="AH960" s="357">
        <f t="shared" ca="1" si="434"/>
        <v>-6.0675071957094904</v>
      </c>
    </row>
    <row r="961" spans="1:34" x14ac:dyDescent="0.25">
      <c r="A961" s="402">
        <f t="shared" ca="1" si="412"/>
        <v>1E-4</v>
      </c>
      <c r="B961" s="357">
        <f t="shared" ca="1" si="413"/>
        <v>35.624100000000993</v>
      </c>
      <c r="C961" s="342"/>
      <c r="D961" s="359">
        <f t="shared" ca="1" si="414"/>
        <v>-0.82490665318625822</v>
      </c>
      <c r="E961" s="360">
        <f t="shared" ca="1" si="415"/>
        <v>-3.7987884793512903</v>
      </c>
      <c r="F961" s="357">
        <f t="shared" ca="1" si="416"/>
        <v>3.887321043768194</v>
      </c>
      <c r="G961" s="359">
        <f t="shared" ca="1" si="417"/>
        <v>18.693375603950422</v>
      </c>
      <c r="H961" s="360">
        <f t="shared" ca="1" si="418"/>
        <v>-136.22225446923937</v>
      </c>
      <c r="I961" s="357">
        <f t="shared" ca="1" si="419"/>
        <v>137.49889055607895</v>
      </c>
      <c r="J961" s="359">
        <f t="shared" ca="1" si="420"/>
        <v>1009.0500868209435</v>
      </c>
      <c r="K961" s="360">
        <f t="shared" ca="1" si="421"/>
        <v>-14.241779946161465</v>
      </c>
      <c r="L961" s="357">
        <f t="shared" ca="1" si="406"/>
        <v>1009.1505863890624</v>
      </c>
      <c r="M961" s="359">
        <f t="shared" ca="1" si="422"/>
        <v>-1.4344210776247719</v>
      </c>
      <c r="N961" s="357">
        <f t="shared" ca="1" si="423"/>
        <v>-82.186273792506867</v>
      </c>
      <c r="O961" s="343"/>
      <c r="P961" s="363">
        <f t="shared" ca="1" si="424"/>
        <v>23</v>
      </c>
      <c r="Q961" s="357">
        <f t="shared" ca="1" si="425"/>
        <v>0</v>
      </c>
      <c r="R961" s="359">
        <f t="shared" ca="1" si="426"/>
        <v>0</v>
      </c>
      <c r="S961" s="360">
        <f t="shared" ca="1" si="427"/>
        <v>8.6519999999999992</v>
      </c>
      <c r="T961" s="357">
        <f t="shared" ca="1" si="407"/>
        <v>84.87612</v>
      </c>
      <c r="U961" s="364">
        <f t="shared" ca="1" si="408"/>
        <v>0</v>
      </c>
      <c r="V961" s="359">
        <f t="shared" ca="1" si="409"/>
        <v>1.2267458612519933</v>
      </c>
      <c r="W961" s="357">
        <f t="shared" ca="1" si="410"/>
        <v>52.496772915136994</v>
      </c>
      <c r="X961" s="343"/>
      <c r="Y961" s="367" t="str">
        <f t="shared" ca="1" si="428"/>
        <v/>
      </c>
      <c r="Z961" s="368" t="str">
        <f t="shared" ca="1" si="429"/>
        <v/>
      </c>
      <c r="AA961" s="369" t="str">
        <f t="shared" ca="1" si="430"/>
        <v/>
      </c>
      <c r="AB961" s="344"/>
      <c r="AC961" s="363" t="e">
        <f t="shared" ca="1" si="431"/>
        <v>#N/A</v>
      </c>
      <c r="AD961" s="376" t="e">
        <f t="shared" ca="1" si="432"/>
        <v>#N/A</v>
      </c>
      <c r="AE961" s="377" t="e">
        <f t="shared" ca="1" si="411"/>
        <v>#N/A</v>
      </c>
      <c r="AF961" s="344"/>
      <c r="AG961" s="359">
        <f t="shared" ca="1" si="433"/>
        <v>3.6513681026443017</v>
      </c>
      <c r="AH961" s="357">
        <f t="shared" ca="1" si="434"/>
        <v>-6.0675476868707623</v>
      </c>
    </row>
    <row r="962" spans="1:34" x14ac:dyDescent="0.25">
      <c r="A962" s="402">
        <f t="shared" ca="1" si="412"/>
        <v>1E-4</v>
      </c>
      <c r="B962" s="357">
        <f t="shared" ca="1" si="413"/>
        <v>35.624200000000997</v>
      </c>
      <c r="C962" s="342"/>
      <c r="D962" s="359">
        <f t="shared" ca="1" si="414"/>
        <v>-0.82490632732194857</v>
      </c>
      <c r="E962" s="360">
        <f t="shared" ca="1" si="415"/>
        <v>-3.7987475641376873</v>
      </c>
      <c r="F962" s="357">
        <f t="shared" ca="1" si="416"/>
        <v>3.8872809912453974</v>
      </c>
      <c r="G962" s="359">
        <f t="shared" ca="1" si="417"/>
        <v>18.69329311331769</v>
      </c>
      <c r="H962" s="360">
        <f t="shared" ca="1" si="418"/>
        <v>-136.22263434399579</v>
      </c>
      <c r="I962" s="357">
        <f t="shared" ca="1" si="419"/>
        <v>137.49925568903416</v>
      </c>
      <c r="J962" s="359">
        <f t="shared" ca="1" si="420"/>
        <v>1009.0500868209435</v>
      </c>
      <c r="K962" s="360">
        <f t="shared" ca="1" si="421"/>
        <v>-14.255402190602126</v>
      </c>
      <c r="L962" s="357">
        <f t="shared" ca="1" si="406"/>
        <v>1009.150778726831</v>
      </c>
      <c r="M962" s="359">
        <f t="shared" ca="1" si="422"/>
        <v>-1.4344220475923066</v>
      </c>
      <c r="N962" s="357">
        <f t="shared" ca="1" si="423"/>
        <v>-82.186329367552872</v>
      </c>
      <c r="O962" s="343"/>
      <c r="P962" s="363">
        <f t="shared" ca="1" si="424"/>
        <v>23</v>
      </c>
      <c r="Q962" s="357">
        <f t="shared" ca="1" si="425"/>
        <v>0</v>
      </c>
      <c r="R962" s="359">
        <f t="shared" ca="1" si="426"/>
        <v>0</v>
      </c>
      <c r="S962" s="360">
        <f t="shared" ca="1" si="427"/>
        <v>8.6519999999999992</v>
      </c>
      <c r="T962" s="357">
        <f t="shared" ca="1" si="407"/>
        <v>84.87612</v>
      </c>
      <c r="U962" s="364">
        <f t="shared" ca="1" si="408"/>
        <v>0</v>
      </c>
      <c r="V962" s="359">
        <f t="shared" ca="1" si="409"/>
        <v>1.2267475323571786</v>
      </c>
      <c r="W962" s="357">
        <f t="shared" ca="1" si="410"/>
        <v>52.497123242271996</v>
      </c>
      <c r="X962" s="343"/>
      <c r="Y962" s="367" t="str">
        <f t="shared" ca="1" si="428"/>
        <v/>
      </c>
      <c r="Z962" s="368" t="str">
        <f t="shared" ca="1" si="429"/>
        <v/>
      </c>
      <c r="AA962" s="369" t="str">
        <f t="shared" ca="1" si="430"/>
        <v/>
      </c>
      <c r="AB962" s="344"/>
      <c r="AC962" s="363" t="e">
        <f t="shared" ca="1" si="431"/>
        <v>#N/A</v>
      </c>
      <c r="AD962" s="376" t="e">
        <f t="shared" ca="1" si="432"/>
        <v>#N/A</v>
      </c>
      <c r="AE962" s="377" t="e">
        <f t="shared" ca="1" si="411"/>
        <v>#N/A</v>
      </c>
      <c r="AF962" s="344"/>
      <c r="AG962" s="359">
        <f t="shared" ca="1" si="433"/>
        <v>3.6513289052823312</v>
      </c>
      <c r="AH962" s="357">
        <f t="shared" ca="1" si="434"/>
        <v>-6.0675881778937812</v>
      </c>
    </row>
    <row r="963" spans="1:34" x14ac:dyDescent="0.25">
      <c r="A963" s="402">
        <f t="shared" ca="1" si="412"/>
        <v>1E-4</v>
      </c>
      <c r="B963" s="357">
        <f t="shared" ca="1" si="413"/>
        <v>35.624300000001</v>
      </c>
      <c r="C963" s="342"/>
      <c r="D963" s="359">
        <f t="shared" ca="1" si="414"/>
        <v>-0.82490600141694304</v>
      </c>
      <c r="E963" s="360">
        <f t="shared" ca="1" si="415"/>
        <v>-3.7987066490638108</v>
      </c>
      <c r="F963" s="357">
        <f t="shared" ca="1" si="416"/>
        <v>3.887240938868505</v>
      </c>
      <c r="G963" s="359">
        <f t="shared" ca="1" si="417"/>
        <v>18.693210622717547</v>
      </c>
      <c r="H963" s="360">
        <f t="shared" ca="1" si="418"/>
        <v>-136.22301421466071</v>
      </c>
      <c r="I963" s="357">
        <f t="shared" ca="1" si="419"/>
        <v>137.49962081806964</v>
      </c>
      <c r="J963" s="359">
        <f t="shared" ca="1" si="420"/>
        <v>1009.0500868209435</v>
      </c>
      <c r="K963" s="360">
        <f t="shared" ca="1" si="421"/>
        <v>-14.269024473030059</v>
      </c>
      <c r="L963" s="357">
        <f t="shared" ca="1" si="406"/>
        <v>1009.150971248983</v>
      </c>
      <c r="M963" s="359">
        <f t="shared" ca="1" si="422"/>
        <v>-1.4344230175504096</v>
      </c>
      <c r="N963" s="357">
        <f t="shared" ca="1" si="423"/>
        <v>-82.186384942058481</v>
      </c>
      <c r="O963" s="343"/>
      <c r="P963" s="363">
        <f t="shared" ca="1" si="424"/>
        <v>23</v>
      </c>
      <c r="Q963" s="357">
        <f t="shared" ca="1" si="425"/>
        <v>0</v>
      </c>
      <c r="R963" s="359">
        <f t="shared" ca="1" si="426"/>
        <v>0</v>
      </c>
      <c r="S963" s="360">
        <f t="shared" ca="1" si="427"/>
        <v>8.6519999999999992</v>
      </c>
      <c r="T963" s="357">
        <f t="shared" ca="1" si="407"/>
        <v>84.87612</v>
      </c>
      <c r="U963" s="364">
        <f t="shared" ca="1" si="408"/>
        <v>0</v>
      </c>
      <c r="V963" s="359">
        <f t="shared" ca="1" si="409"/>
        <v>1.2267492034693017</v>
      </c>
      <c r="W963" s="357">
        <f t="shared" ca="1" si="410"/>
        <v>52.497473568210822</v>
      </c>
      <c r="X963" s="343"/>
      <c r="Y963" s="367" t="str">
        <f t="shared" ca="1" si="428"/>
        <v/>
      </c>
      <c r="Z963" s="368" t="str">
        <f t="shared" ca="1" si="429"/>
        <v/>
      </c>
      <c r="AA963" s="369" t="str">
        <f t="shared" ca="1" si="430"/>
        <v/>
      </c>
      <c r="AB963" s="344"/>
      <c r="AC963" s="363" t="e">
        <f t="shared" ca="1" si="431"/>
        <v>#N/A</v>
      </c>
      <c r="AD963" s="376" t="e">
        <f t="shared" ca="1" si="432"/>
        <v>#N/A</v>
      </c>
      <c r="AE963" s="377" t="e">
        <f t="shared" ca="1" si="411"/>
        <v>#N/A</v>
      </c>
      <c r="AF963" s="344"/>
      <c r="AG963" s="359">
        <f t="shared" ca="1" si="433"/>
        <v>3.6512897080368898</v>
      </c>
      <c r="AH963" s="357">
        <f t="shared" ca="1" si="434"/>
        <v>-6.0676286687785481</v>
      </c>
    </row>
    <row r="964" spans="1:34" x14ac:dyDescent="0.25">
      <c r="A964" s="402">
        <f t="shared" ca="1" si="412"/>
        <v>1E-4</v>
      </c>
      <c r="B964" s="357">
        <f t="shared" ca="1" si="413"/>
        <v>35.624400000001003</v>
      </c>
      <c r="C964" s="342"/>
      <c r="D964" s="359">
        <f t="shared" ca="1" si="414"/>
        <v>-0.82490567547124305</v>
      </c>
      <c r="E964" s="360">
        <f t="shared" ca="1" si="415"/>
        <v>-3.7986657341296608</v>
      </c>
      <c r="F964" s="357">
        <f t="shared" ca="1" si="416"/>
        <v>3.8872008866375176</v>
      </c>
      <c r="G964" s="359">
        <f t="shared" ca="1" si="417"/>
        <v>18.693128132150001</v>
      </c>
      <c r="H964" s="360">
        <f t="shared" ca="1" si="418"/>
        <v>-136.22339408123412</v>
      </c>
      <c r="I964" s="357">
        <f t="shared" ca="1" si="419"/>
        <v>137.49998594318541</v>
      </c>
      <c r="J964" s="359">
        <f t="shared" ca="1" si="420"/>
        <v>1009.0500868209435</v>
      </c>
      <c r="K964" s="360">
        <f t="shared" ca="1" si="421"/>
        <v>-14.282646793444854</v>
      </c>
      <c r="L964" s="357">
        <f t="shared" ref="L964:L1004" ca="1" si="435">SQRT(pos_x^2+pos_z^2)</f>
        <v>1009.1511639555196</v>
      </c>
      <c r="M964" s="359">
        <f t="shared" ca="1" si="422"/>
        <v>-1.434423987499081</v>
      </c>
      <c r="N964" s="357">
        <f t="shared" ca="1" si="423"/>
        <v>-82.186440516023694</v>
      </c>
      <c r="O964" s="343"/>
      <c r="P964" s="363">
        <f t="shared" ca="1" si="424"/>
        <v>23</v>
      </c>
      <c r="Q964" s="357">
        <f t="shared" ca="1" si="425"/>
        <v>0</v>
      </c>
      <c r="R964" s="359">
        <f t="shared" ca="1" si="426"/>
        <v>0</v>
      </c>
      <c r="S964" s="360">
        <f t="shared" ca="1" si="427"/>
        <v>8.6519999999999992</v>
      </c>
      <c r="T964" s="357">
        <f t="shared" ref="T964:T1004" ca="1" si="436">m*g</f>
        <v>84.87612</v>
      </c>
      <c r="U964" s="364">
        <f t="shared" ref="U964:U1004" ca="1" si="437">IF(pos_xz&lt;L_rampe,Poids*COS(Beta),0)</f>
        <v>0</v>
      </c>
      <c r="V964" s="359">
        <f t="shared" ref="V964:V1004" ca="1" si="438">Rho_moyen*(20000-Alt_rampe-pos_z)/(20000+Alt_rampe+pos_z)</f>
        <v>1.2267508745883635</v>
      </c>
      <c r="W964" s="357">
        <f t="shared" ref="W964:W1003" ca="1" si="439">1/2*Rho*Sref*Cx*vit_xz^2</f>
        <v>52.497823892953456</v>
      </c>
      <c r="X964" s="343"/>
      <c r="Y964" s="367" t="str">
        <f t="shared" ca="1" si="428"/>
        <v/>
      </c>
      <c r="Z964" s="368" t="str">
        <f t="shared" ca="1" si="429"/>
        <v/>
      </c>
      <c r="AA964" s="369" t="str">
        <f t="shared" ca="1" si="430"/>
        <v/>
      </c>
      <c r="AB964" s="344"/>
      <c r="AC964" s="363" t="e">
        <f t="shared" ca="1" si="431"/>
        <v>#N/A</v>
      </c>
      <c r="AD964" s="376" t="e">
        <f t="shared" ca="1" si="432"/>
        <v>#N/A</v>
      </c>
      <c r="AE964" s="377" t="e">
        <f t="shared" ref="AE964:AE1004" ca="1" si="440">IF(t&lt;T_para, pos_z, NA())</f>
        <v>#N/A</v>
      </c>
      <c r="AF964" s="344"/>
      <c r="AG964" s="359">
        <f t="shared" ca="1" si="433"/>
        <v>3.6512505109079809</v>
      </c>
      <c r="AH964" s="357">
        <f t="shared" ca="1" si="434"/>
        <v>-6.0676691595250611</v>
      </c>
    </row>
    <row r="965" spans="1:34" x14ac:dyDescent="0.25">
      <c r="A965" s="402">
        <f t="shared" ref="A965:A1004" ca="1" si="441">IF(B964+0.01&lt;=T_ini+ROUNDUP(Temps_fin_propu,0), 0.01, IF(K964&gt;0, 0.1, 0.0001))</f>
        <v>1E-4</v>
      </c>
      <c r="B965" s="357">
        <f t="shared" ref="B965:B1004" ca="1" si="442">B964+pas</f>
        <v>35.624500000001007</v>
      </c>
      <c r="C965" s="342"/>
      <c r="D965" s="359">
        <f t="shared" ref="D965:D1004" ca="1" si="443">IF(AND(L964&lt;L_rampe,Poussee&lt;Poids*SIN(M964)),0,(-W964+Poussee)/m*COS(M964)-U964/m*SIN(M964))</f>
        <v>-0.82490534948484806</v>
      </c>
      <c r="E965" s="360">
        <f t="shared" ref="E965:E1004" ca="1" si="444">IF(AND(L964&lt;L_rampe,Poussee&lt;Poids*SIN(M964)),0,(-W964+Poussee)/m*SIN(M964)+U964/m*COS(M964)-Poids/m)</f>
        <v>-3.7986248193352417</v>
      </c>
      <c r="F965" s="357">
        <f t="shared" ref="F965:F1004" ca="1" si="445">SQRT(acc_x^2+acc_z^2)</f>
        <v>3.8871608345524393</v>
      </c>
      <c r="G965" s="359">
        <f t="shared" ref="G965:G1004" ca="1" si="446">G964+acc_x*pas</f>
        <v>18.693045641615054</v>
      </c>
      <c r="H965" s="360">
        <f t="shared" ref="H965:H1004" ca="1" si="447">H964+acc_z*pas</f>
        <v>-136.22377394371605</v>
      </c>
      <c r="I965" s="357">
        <f t="shared" ref="I965:I1004" ca="1" si="448">SQRT(vit_x^2+vit_z^2)</f>
        <v>137.50035106438148</v>
      </c>
      <c r="J965" s="359">
        <f t="shared" ref="J965:J1004" ca="1" si="449">J964+0.5*(vit_x+G964)*pas*(K964&gt;=0)</f>
        <v>1009.0500868209435</v>
      </c>
      <c r="K965" s="360">
        <f t="shared" ref="K965:K1004" ca="1" si="450">K964+0.5*(vit_z+H964)*pas</f>
        <v>-14.296269151846102</v>
      </c>
      <c r="L965" s="357">
        <f t="shared" ca="1" si="435"/>
        <v>1009.1513568464424</v>
      </c>
      <c r="M965" s="359">
        <f t="shared" ref="M965:M1004" ca="1" si="451">IF(AND(L964&gt;L_rampe,G965&gt;0),ATAN2(G965,H965),$M$4)</f>
        <v>-1.4344249574383205</v>
      </c>
      <c r="N965" s="357">
        <f t="shared" ref="N965:N1004" ca="1" si="452">DEGREES(Beta)</f>
        <v>-82.186496089448511</v>
      </c>
      <c r="O965" s="343"/>
      <c r="P965" s="363">
        <f t="shared" ref="P965:P1004" ca="1" si="453">MATCH(t-pas/2-T_ini,CdP_t)</f>
        <v>23</v>
      </c>
      <c r="Q965" s="357">
        <f t="shared" ref="Q965:Q1004" ca="1" si="454">(INDEX(CdP,2,i_P+1)-INDEX(CdP,2,i_P+0))/(INDEX(CdP,1,i_P+1)-INDEX(CdP,1,i_P+0))*(t-pas/2-T_ini-INDEX(CdP,1,i_P+0))+INDEX(CdP,2,i_P+0)</f>
        <v>0</v>
      </c>
      <c r="R965" s="359">
        <f t="shared" ref="R965:R1004" ca="1" si="455">Poussee/(g*ISP)</f>
        <v>0</v>
      </c>
      <c r="S965" s="360">
        <f t="shared" ref="S965:S1004" ca="1" si="456">S964-Débit*pas</f>
        <v>8.6519999999999992</v>
      </c>
      <c r="T965" s="357">
        <f t="shared" ca="1" si="436"/>
        <v>84.87612</v>
      </c>
      <c r="U965" s="364">
        <f t="shared" ca="1" si="437"/>
        <v>0</v>
      </c>
      <c r="V965" s="359">
        <f t="shared" ca="1" si="438"/>
        <v>1.2267525457143631</v>
      </c>
      <c r="W965" s="357">
        <f t="shared" ca="1" si="439"/>
        <v>52.498174216499848</v>
      </c>
      <c r="X965" s="343"/>
      <c r="Y965" s="367" t="str">
        <f t="shared" ref="Y965:Y1003" ca="1" si="457">IF(AND(pos_z&lt;=0,K964&gt;0),"Impact balistique","") &amp; IF(AND(H966&lt;0,vit_z&gt;=0),"Apogée","") &amp; IF(AND(Poussee=0,Q964&gt;0),"Fin de propulsion","") &amp; IF(AND(L966&gt;L_rampe,pos_xz&lt;=L_rampe),"Sortie de rampe","")</f>
        <v/>
      </c>
      <c r="Z965" s="368" t="str">
        <f t="shared" ref="Z965:Z1004" ca="1" si="458">IF(ABS(t-T_para)&lt;pas/2,"Para","")</f>
        <v/>
      </c>
      <c r="AA965" s="369" t="str">
        <f t="shared" ref="AA965:AA1004" ca="1" si="459">IF(ABS(t-T_satellite)&lt;pas/2,"Satellite","")</f>
        <v/>
      </c>
      <c r="AB965" s="344"/>
      <c r="AC965" s="363" t="e">
        <f t="shared" ref="AC965:AC1004" ca="1" si="460">IF(ABS(t-ROUND(t,0))&lt;0.001,t,NA())</f>
        <v>#N/A</v>
      </c>
      <c r="AD965" s="376" t="e">
        <f t="shared" ref="AD965:AD1004" ca="1" si="461">IF(ABS(t-ROUND(t,0))&lt;0.001,pos_x,NA())</f>
        <v>#N/A</v>
      </c>
      <c r="AE965" s="377" t="e">
        <f t="shared" ca="1" si="440"/>
        <v>#N/A</v>
      </c>
      <c r="AF965" s="344"/>
      <c r="AG965" s="359">
        <f t="shared" ref="AG965:AG1004" ca="1" si="462">IF(AND(L964&lt;L_rampe,Poussee&lt;Poids*SIN(M964)),0,(-W964+Poussee)/m-Poids*SIN(M964)/m)</f>
        <v>3.6512113138956046</v>
      </c>
      <c r="AH965" s="357">
        <f t="shared" ref="AH965:AH1004" ca="1" si="463">IF(AND(L964&lt;L_rampe,Poussee&lt;Poids*SIN(M964)), g*SIN(M964), (-W964+Poussee)/m)</f>
        <v>-6.0677096501333168</v>
      </c>
    </row>
    <row r="966" spans="1:34" x14ac:dyDescent="0.25">
      <c r="A966" s="402">
        <f t="shared" ca="1" si="441"/>
        <v>1E-4</v>
      </c>
      <c r="B966" s="357">
        <f t="shared" ca="1" si="442"/>
        <v>35.62460000000101</v>
      </c>
      <c r="C966" s="342"/>
      <c r="D966" s="359">
        <f t="shared" ca="1" si="443"/>
        <v>-0.82490502345776051</v>
      </c>
      <c r="E966" s="360">
        <f t="shared" ca="1" si="444"/>
        <v>-3.798583904680557</v>
      </c>
      <c r="F966" s="357">
        <f t="shared" ca="1" si="445"/>
        <v>3.8871207826132745</v>
      </c>
      <c r="G966" s="359">
        <f t="shared" ca="1" si="446"/>
        <v>18.692963151112707</v>
      </c>
      <c r="H966" s="360">
        <f t="shared" ca="1" si="447"/>
        <v>-136.22415380210651</v>
      </c>
      <c r="I966" s="357">
        <f t="shared" ca="1" si="448"/>
        <v>137.50071618165785</v>
      </c>
      <c r="J966" s="359">
        <f t="shared" ca="1" si="449"/>
        <v>1009.0500868209435</v>
      </c>
      <c r="K966" s="360">
        <f t="shared" ca="1" si="450"/>
        <v>-14.309891548233393</v>
      </c>
      <c r="L966" s="357">
        <f t="shared" ca="1" si="435"/>
        <v>1009.1515499217528</v>
      </c>
      <c r="M966" s="359">
        <f t="shared" ca="1" si="451"/>
        <v>-1.434425927368129</v>
      </c>
      <c r="N966" s="357">
        <f t="shared" ca="1" si="452"/>
        <v>-82.18655166233296</v>
      </c>
      <c r="O966" s="343"/>
      <c r="P966" s="363">
        <f t="shared" ca="1" si="453"/>
        <v>23</v>
      </c>
      <c r="Q966" s="357">
        <f t="shared" ca="1" si="454"/>
        <v>0</v>
      </c>
      <c r="R966" s="359">
        <f t="shared" ca="1" si="455"/>
        <v>0</v>
      </c>
      <c r="S966" s="360">
        <f t="shared" ca="1" si="456"/>
        <v>8.6519999999999992</v>
      </c>
      <c r="T966" s="357">
        <f t="shared" ca="1" si="436"/>
        <v>84.87612</v>
      </c>
      <c r="U966" s="364">
        <f t="shared" ca="1" si="437"/>
        <v>0</v>
      </c>
      <c r="V966" s="359">
        <f t="shared" ca="1" si="438"/>
        <v>1.2267542168473007</v>
      </c>
      <c r="W966" s="357">
        <f t="shared" ca="1" si="439"/>
        <v>52.498524538850006</v>
      </c>
      <c r="X966" s="343"/>
      <c r="Y966" s="367" t="str">
        <f t="shared" ca="1" si="457"/>
        <v/>
      </c>
      <c r="Z966" s="368" t="str">
        <f t="shared" ca="1" si="458"/>
        <v/>
      </c>
      <c r="AA966" s="369" t="str">
        <f t="shared" ca="1" si="459"/>
        <v/>
      </c>
      <c r="AB966" s="344"/>
      <c r="AC966" s="363" t="e">
        <f t="shared" ca="1" si="460"/>
        <v>#N/A</v>
      </c>
      <c r="AD966" s="376" t="e">
        <f t="shared" ca="1" si="461"/>
        <v>#N/A</v>
      </c>
      <c r="AE966" s="377" t="e">
        <f t="shared" ca="1" si="440"/>
        <v>#N/A</v>
      </c>
      <c r="AF966" s="344"/>
      <c r="AG966" s="359">
        <f t="shared" ca="1" si="462"/>
        <v>3.651172116999768</v>
      </c>
      <c r="AH966" s="357">
        <f t="shared" ca="1" si="463"/>
        <v>-6.0677501406033114</v>
      </c>
    </row>
    <row r="967" spans="1:34" x14ac:dyDescent="0.25">
      <c r="A967" s="402">
        <f t="shared" ca="1" si="441"/>
        <v>1E-4</v>
      </c>
      <c r="B967" s="357">
        <f t="shared" ca="1" si="442"/>
        <v>35.624700000001013</v>
      </c>
      <c r="C967" s="342"/>
      <c r="D967" s="359">
        <f t="shared" ca="1" si="443"/>
        <v>-0.82490469738997818</v>
      </c>
      <c r="E967" s="360">
        <f t="shared" ca="1" si="444"/>
        <v>-3.7985429901656076</v>
      </c>
      <c r="F967" s="357">
        <f t="shared" ca="1" si="445"/>
        <v>3.8870807308200233</v>
      </c>
      <c r="G967" s="359">
        <f t="shared" ca="1" si="446"/>
        <v>18.692880660642967</v>
      </c>
      <c r="H967" s="360">
        <f t="shared" ca="1" si="447"/>
        <v>-136.22453365640553</v>
      </c>
      <c r="I967" s="357">
        <f t="shared" ca="1" si="448"/>
        <v>137.50108129501456</v>
      </c>
      <c r="J967" s="359">
        <f t="shared" ca="1" si="449"/>
        <v>1009.0500868209435</v>
      </c>
      <c r="K967" s="360">
        <f t="shared" ca="1" si="450"/>
        <v>-14.323513982606318</v>
      </c>
      <c r="L967" s="357">
        <f t="shared" ca="1" si="435"/>
        <v>1009.1517431814522</v>
      </c>
      <c r="M967" s="359">
        <f t="shared" ca="1" si="451"/>
        <v>-1.4344268972885064</v>
      </c>
      <c r="N967" s="357">
        <f t="shared" ca="1" si="452"/>
        <v>-82.186607234677041</v>
      </c>
      <c r="O967" s="343"/>
      <c r="P967" s="363">
        <f t="shared" ca="1" si="453"/>
        <v>23</v>
      </c>
      <c r="Q967" s="357">
        <f t="shared" ca="1" si="454"/>
        <v>0</v>
      </c>
      <c r="R967" s="359">
        <f t="shared" ca="1" si="455"/>
        <v>0</v>
      </c>
      <c r="S967" s="360">
        <f t="shared" ca="1" si="456"/>
        <v>8.6519999999999992</v>
      </c>
      <c r="T967" s="357">
        <f t="shared" ca="1" si="436"/>
        <v>84.87612</v>
      </c>
      <c r="U967" s="364">
        <f t="shared" ca="1" si="437"/>
        <v>0</v>
      </c>
      <c r="V967" s="359">
        <f t="shared" ca="1" si="438"/>
        <v>1.2267558879871761</v>
      </c>
      <c r="W967" s="357">
        <f t="shared" ca="1" si="439"/>
        <v>52.498874860003887</v>
      </c>
      <c r="X967" s="343"/>
      <c r="Y967" s="367" t="str">
        <f t="shared" ca="1" si="457"/>
        <v/>
      </c>
      <c r="Z967" s="368" t="str">
        <f t="shared" ca="1" si="458"/>
        <v/>
      </c>
      <c r="AA967" s="369" t="str">
        <f t="shared" ca="1" si="459"/>
        <v/>
      </c>
      <c r="AB967" s="344"/>
      <c r="AC967" s="363" t="e">
        <f t="shared" ca="1" si="460"/>
        <v>#N/A</v>
      </c>
      <c r="AD967" s="376" t="e">
        <f t="shared" ca="1" si="461"/>
        <v>#N/A</v>
      </c>
      <c r="AE967" s="377" t="e">
        <f t="shared" ca="1" si="440"/>
        <v>#N/A</v>
      </c>
      <c r="AF967" s="344"/>
      <c r="AG967" s="359">
        <f t="shared" ca="1" si="462"/>
        <v>3.651132920220471</v>
      </c>
      <c r="AH967" s="357">
        <f t="shared" ca="1" si="463"/>
        <v>-6.0677906309350451</v>
      </c>
    </row>
    <row r="968" spans="1:34" x14ac:dyDescent="0.25">
      <c r="A968" s="402">
        <f t="shared" ca="1" si="441"/>
        <v>1E-4</v>
      </c>
      <c r="B968" s="357">
        <f t="shared" ca="1" si="442"/>
        <v>35.624800000001017</v>
      </c>
      <c r="C968" s="342"/>
      <c r="D968" s="359">
        <f t="shared" ca="1" si="443"/>
        <v>-0.82490437128150151</v>
      </c>
      <c r="E968" s="360">
        <f t="shared" ca="1" si="444"/>
        <v>-3.7985020757903971</v>
      </c>
      <c r="F968" s="357">
        <f t="shared" ca="1" si="445"/>
        <v>3.8870406791726899</v>
      </c>
      <c r="G968" s="359">
        <f t="shared" ca="1" si="446"/>
        <v>18.69279817020584</v>
      </c>
      <c r="H968" s="360">
        <f t="shared" ca="1" si="447"/>
        <v>-136.22491350661309</v>
      </c>
      <c r="I968" s="357">
        <f t="shared" ca="1" si="448"/>
        <v>137.50144640445157</v>
      </c>
      <c r="J968" s="359">
        <f t="shared" ca="1" si="449"/>
        <v>1009.0500868209435</v>
      </c>
      <c r="K968" s="360">
        <f t="shared" ca="1" si="450"/>
        <v>-14.337136454964469</v>
      </c>
      <c r="L968" s="357">
        <f t="shared" ca="1" si="435"/>
        <v>1009.151936625542</v>
      </c>
      <c r="M968" s="359">
        <f t="shared" ca="1" si="451"/>
        <v>-1.4344278671994524</v>
      </c>
      <c r="N968" s="357">
        <f t="shared" ca="1" si="452"/>
        <v>-82.186662806480754</v>
      </c>
      <c r="O968" s="343"/>
      <c r="P968" s="363">
        <f t="shared" ca="1" si="453"/>
        <v>23</v>
      </c>
      <c r="Q968" s="357">
        <f t="shared" ca="1" si="454"/>
        <v>0</v>
      </c>
      <c r="R968" s="359">
        <f t="shared" ca="1" si="455"/>
        <v>0</v>
      </c>
      <c r="S968" s="360">
        <f t="shared" ca="1" si="456"/>
        <v>8.6519999999999992</v>
      </c>
      <c r="T968" s="357">
        <f t="shared" ca="1" si="436"/>
        <v>84.87612</v>
      </c>
      <c r="U968" s="364">
        <f t="shared" ca="1" si="437"/>
        <v>0</v>
      </c>
      <c r="V968" s="359">
        <f t="shared" ca="1" si="438"/>
        <v>1.2267575591339897</v>
      </c>
      <c r="W968" s="357">
        <f t="shared" ca="1" si="439"/>
        <v>52.499225179961499</v>
      </c>
      <c r="X968" s="343"/>
      <c r="Y968" s="367" t="str">
        <f t="shared" ca="1" si="457"/>
        <v/>
      </c>
      <c r="Z968" s="368" t="str">
        <f t="shared" ca="1" si="458"/>
        <v/>
      </c>
      <c r="AA968" s="369" t="str">
        <f t="shared" ca="1" si="459"/>
        <v/>
      </c>
      <c r="AB968" s="344"/>
      <c r="AC968" s="363" t="e">
        <f t="shared" ca="1" si="460"/>
        <v>#N/A</v>
      </c>
      <c r="AD968" s="376" t="e">
        <f t="shared" ca="1" si="461"/>
        <v>#N/A</v>
      </c>
      <c r="AE968" s="377" t="e">
        <f t="shared" ca="1" si="440"/>
        <v>#N/A</v>
      </c>
      <c r="AF968" s="344"/>
      <c r="AG968" s="359">
        <f t="shared" ca="1" si="462"/>
        <v>3.6510937235577208</v>
      </c>
      <c r="AH968" s="357">
        <f t="shared" ca="1" si="463"/>
        <v>-6.0678311211285125</v>
      </c>
    </row>
    <row r="969" spans="1:34" x14ac:dyDescent="0.25">
      <c r="A969" s="402">
        <f t="shared" ca="1" si="441"/>
        <v>1E-4</v>
      </c>
      <c r="B969" s="357">
        <f t="shared" ca="1" si="442"/>
        <v>35.62490000000102</v>
      </c>
      <c r="C969" s="342"/>
      <c r="D969" s="359">
        <f t="shared" ca="1" si="443"/>
        <v>-0.82490404513233406</v>
      </c>
      <c r="E969" s="360">
        <f t="shared" ca="1" si="444"/>
        <v>-3.7984611615549246</v>
      </c>
      <c r="F969" s="357">
        <f t="shared" ca="1" si="445"/>
        <v>3.8870006276712736</v>
      </c>
      <c r="G969" s="359">
        <f t="shared" ca="1" si="446"/>
        <v>18.692715679801328</v>
      </c>
      <c r="H969" s="360">
        <f t="shared" ca="1" si="447"/>
        <v>-136.22529335272924</v>
      </c>
      <c r="I969" s="357">
        <f t="shared" ca="1" si="448"/>
        <v>137.50181150996895</v>
      </c>
      <c r="J969" s="359">
        <f t="shared" ca="1" si="449"/>
        <v>1009.0500868209435</v>
      </c>
      <c r="K969" s="360">
        <f t="shared" ca="1" si="450"/>
        <v>-14.350758965307437</v>
      </c>
      <c r="L969" s="357">
        <f t="shared" ca="1" si="435"/>
        <v>1009.1521302540237</v>
      </c>
      <c r="M969" s="359">
        <f t="shared" ca="1" si="451"/>
        <v>-1.4344288371009677</v>
      </c>
      <c r="N969" s="357">
        <f t="shared" ca="1" si="452"/>
        <v>-82.186718377744128</v>
      </c>
      <c r="O969" s="343"/>
      <c r="P969" s="363">
        <f t="shared" ca="1" si="453"/>
        <v>23</v>
      </c>
      <c r="Q969" s="357">
        <f t="shared" ca="1" si="454"/>
        <v>0</v>
      </c>
      <c r="R969" s="359">
        <f t="shared" ca="1" si="455"/>
        <v>0</v>
      </c>
      <c r="S969" s="360">
        <f t="shared" ca="1" si="456"/>
        <v>8.6519999999999992</v>
      </c>
      <c r="T969" s="357">
        <f t="shared" ca="1" si="436"/>
        <v>84.87612</v>
      </c>
      <c r="U969" s="364">
        <f t="shared" ca="1" si="437"/>
        <v>0</v>
      </c>
      <c r="V969" s="359">
        <f t="shared" ca="1" si="438"/>
        <v>1.2267592302877417</v>
      </c>
      <c r="W969" s="357">
        <f t="shared" ca="1" si="439"/>
        <v>52.499575498722812</v>
      </c>
      <c r="X969" s="343"/>
      <c r="Y969" s="367" t="str">
        <f t="shared" ca="1" si="457"/>
        <v/>
      </c>
      <c r="Z969" s="368" t="str">
        <f t="shared" ca="1" si="458"/>
        <v/>
      </c>
      <c r="AA969" s="369" t="str">
        <f t="shared" ca="1" si="459"/>
        <v/>
      </c>
      <c r="AB969" s="344"/>
      <c r="AC969" s="363" t="e">
        <f t="shared" ca="1" si="460"/>
        <v>#N/A</v>
      </c>
      <c r="AD969" s="376" t="e">
        <f t="shared" ca="1" si="461"/>
        <v>#N/A</v>
      </c>
      <c r="AE969" s="377" t="e">
        <f t="shared" ca="1" si="440"/>
        <v>#N/A</v>
      </c>
      <c r="AF969" s="344"/>
      <c r="AG969" s="359">
        <f t="shared" ca="1" si="462"/>
        <v>3.651054527011512</v>
      </c>
      <c r="AH969" s="357">
        <f t="shared" ca="1" si="463"/>
        <v>-6.0678716111837154</v>
      </c>
    </row>
    <row r="970" spans="1:34" x14ac:dyDescent="0.25">
      <c r="A970" s="402">
        <f t="shared" ca="1" si="441"/>
        <v>1E-4</v>
      </c>
      <c r="B970" s="357">
        <f t="shared" ca="1" si="442"/>
        <v>35.625000000001023</v>
      </c>
      <c r="C970" s="342"/>
      <c r="D970" s="359">
        <f t="shared" ca="1" si="443"/>
        <v>-0.8249037189424725</v>
      </c>
      <c r="E970" s="360">
        <f t="shared" ca="1" si="444"/>
        <v>-3.7984202474591955</v>
      </c>
      <c r="F970" s="357">
        <f t="shared" ca="1" si="445"/>
        <v>3.8869605763157797</v>
      </c>
      <c r="G970" s="359">
        <f t="shared" ca="1" si="446"/>
        <v>18.692633189429433</v>
      </c>
      <c r="H970" s="360">
        <f t="shared" ca="1" si="447"/>
        <v>-136.22567319475399</v>
      </c>
      <c r="I970" s="357">
        <f t="shared" ca="1" si="448"/>
        <v>137.50217661156668</v>
      </c>
      <c r="J970" s="359">
        <f t="shared" ca="1" si="449"/>
        <v>1009.0500868209435</v>
      </c>
      <c r="K970" s="360">
        <f t="shared" ca="1" si="450"/>
        <v>-14.364381513634811</v>
      </c>
      <c r="L970" s="357">
        <f t="shared" ca="1" si="435"/>
        <v>1009.1523240668987</v>
      </c>
      <c r="M970" s="359">
        <f t="shared" ca="1" si="451"/>
        <v>-1.4344298069930521</v>
      </c>
      <c r="N970" s="357">
        <f t="shared" ca="1" si="452"/>
        <v>-82.186773948467149</v>
      </c>
      <c r="O970" s="343"/>
      <c r="P970" s="363">
        <f t="shared" ca="1" si="453"/>
        <v>23</v>
      </c>
      <c r="Q970" s="357">
        <f t="shared" ca="1" si="454"/>
        <v>0</v>
      </c>
      <c r="R970" s="359">
        <f t="shared" ca="1" si="455"/>
        <v>0</v>
      </c>
      <c r="S970" s="360">
        <f t="shared" ca="1" si="456"/>
        <v>8.6519999999999992</v>
      </c>
      <c r="T970" s="357">
        <f t="shared" ca="1" si="436"/>
        <v>84.87612</v>
      </c>
      <c r="U970" s="364">
        <f t="shared" ca="1" si="437"/>
        <v>0</v>
      </c>
      <c r="V970" s="359">
        <f t="shared" ca="1" si="438"/>
        <v>1.2267609014484309</v>
      </c>
      <c r="W970" s="357">
        <f t="shared" ca="1" si="439"/>
        <v>52.499925816287792</v>
      </c>
      <c r="X970" s="343"/>
      <c r="Y970" s="367" t="str">
        <f t="shared" ca="1" si="457"/>
        <v/>
      </c>
      <c r="Z970" s="368" t="str">
        <f t="shared" ca="1" si="458"/>
        <v/>
      </c>
      <c r="AA970" s="369" t="str">
        <f t="shared" ca="1" si="459"/>
        <v/>
      </c>
      <c r="AB970" s="344"/>
      <c r="AC970" s="363" t="e">
        <f t="shared" ca="1" si="460"/>
        <v>#N/A</v>
      </c>
      <c r="AD970" s="376" t="e">
        <f t="shared" ca="1" si="461"/>
        <v>#N/A</v>
      </c>
      <c r="AE970" s="377" t="e">
        <f t="shared" ca="1" si="440"/>
        <v>#N/A</v>
      </c>
      <c r="AF970" s="344"/>
      <c r="AG970" s="359">
        <f t="shared" ca="1" si="462"/>
        <v>3.6510153305818509</v>
      </c>
      <c r="AH970" s="357">
        <f t="shared" ca="1" si="463"/>
        <v>-6.0679121011006494</v>
      </c>
    </row>
    <row r="971" spans="1:34" x14ac:dyDescent="0.25">
      <c r="A971" s="402">
        <f t="shared" ca="1" si="441"/>
        <v>1E-4</v>
      </c>
      <c r="B971" s="357">
        <f t="shared" ca="1" si="442"/>
        <v>35.625100000001027</v>
      </c>
      <c r="C971" s="342"/>
      <c r="D971" s="359">
        <f t="shared" ca="1" si="443"/>
        <v>-0.82490339271191926</v>
      </c>
      <c r="E971" s="360">
        <f t="shared" ca="1" si="444"/>
        <v>-3.7983793335032106</v>
      </c>
      <c r="F971" s="357">
        <f t="shared" ca="1" si="445"/>
        <v>3.8869205251062091</v>
      </c>
      <c r="G971" s="359">
        <f t="shared" ca="1" si="446"/>
        <v>18.692550699090162</v>
      </c>
      <c r="H971" s="360">
        <f t="shared" ca="1" si="447"/>
        <v>-136.22605303268733</v>
      </c>
      <c r="I971" s="357">
        <f t="shared" ca="1" si="448"/>
        <v>137.50254170924478</v>
      </c>
      <c r="J971" s="359">
        <f t="shared" ca="1" si="449"/>
        <v>1009.0500868209435</v>
      </c>
      <c r="K971" s="360">
        <f t="shared" ca="1" si="450"/>
        <v>-14.378004099946184</v>
      </c>
      <c r="L971" s="357">
        <f t="shared" ca="1" si="435"/>
        <v>1009.1525180641685</v>
      </c>
      <c r="M971" s="359">
        <f t="shared" ca="1" si="451"/>
        <v>-1.4344307768757059</v>
      </c>
      <c r="N971" s="357">
        <f t="shared" ca="1" si="452"/>
        <v>-82.18682951864983</v>
      </c>
      <c r="O971" s="343"/>
      <c r="P971" s="363">
        <f t="shared" ca="1" si="453"/>
        <v>23</v>
      </c>
      <c r="Q971" s="357">
        <f t="shared" ca="1" si="454"/>
        <v>0</v>
      </c>
      <c r="R971" s="359">
        <f t="shared" ca="1" si="455"/>
        <v>0</v>
      </c>
      <c r="S971" s="360">
        <f t="shared" ca="1" si="456"/>
        <v>8.6519999999999992</v>
      </c>
      <c r="T971" s="357">
        <f t="shared" ca="1" si="436"/>
        <v>84.87612</v>
      </c>
      <c r="U971" s="364">
        <f t="shared" ca="1" si="437"/>
        <v>0</v>
      </c>
      <c r="V971" s="359">
        <f t="shared" ca="1" si="438"/>
        <v>1.2267625726160583</v>
      </c>
      <c r="W971" s="357">
        <f t="shared" ca="1" si="439"/>
        <v>52.500276132656424</v>
      </c>
      <c r="X971" s="343"/>
      <c r="Y971" s="367" t="str">
        <f t="shared" ca="1" si="457"/>
        <v/>
      </c>
      <c r="Z971" s="368" t="str">
        <f t="shared" ca="1" si="458"/>
        <v/>
      </c>
      <c r="AA971" s="369" t="str">
        <f t="shared" ca="1" si="459"/>
        <v/>
      </c>
      <c r="AB971" s="344"/>
      <c r="AC971" s="363" t="e">
        <f t="shared" ca="1" si="460"/>
        <v>#N/A</v>
      </c>
      <c r="AD971" s="376" t="e">
        <f t="shared" ca="1" si="461"/>
        <v>#N/A</v>
      </c>
      <c r="AE971" s="377" t="e">
        <f t="shared" ca="1" si="440"/>
        <v>#N/A</v>
      </c>
      <c r="AF971" s="344"/>
      <c r="AG971" s="359">
        <f t="shared" ca="1" si="462"/>
        <v>3.6509761342687481</v>
      </c>
      <c r="AH971" s="357">
        <f t="shared" ca="1" si="463"/>
        <v>-6.0679525908793108</v>
      </c>
    </row>
    <row r="972" spans="1:34" x14ac:dyDescent="0.25">
      <c r="A972" s="402">
        <f t="shared" ca="1" si="441"/>
        <v>1E-4</v>
      </c>
      <c r="B972" s="357">
        <f t="shared" ca="1" si="442"/>
        <v>35.62520000000103</v>
      </c>
      <c r="C972" s="342"/>
      <c r="D972" s="359">
        <f t="shared" ca="1" si="443"/>
        <v>-0.82490306644067446</v>
      </c>
      <c r="E972" s="360">
        <f t="shared" ca="1" si="444"/>
        <v>-3.7983384196869752</v>
      </c>
      <c r="F972" s="357">
        <f t="shared" ca="1" si="445"/>
        <v>3.886880474042568</v>
      </c>
      <c r="G972" s="359">
        <f t="shared" ca="1" si="446"/>
        <v>18.69246820878352</v>
      </c>
      <c r="H972" s="360">
        <f t="shared" ca="1" si="447"/>
        <v>-136.22643286652931</v>
      </c>
      <c r="I972" s="357">
        <f t="shared" ca="1" si="448"/>
        <v>137.50290680300324</v>
      </c>
      <c r="J972" s="359">
        <f t="shared" ca="1" si="449"/>
        <v>1009.0500868209435</v>
      </c>
      <c r="K972" s="360">
        <f t="shared" ca="1" si="450"/>
        <v>-14.391626724241144</v>
      </c>
      <c r="L972" s="357">
        <f t="shared" ca="1" si="435"/>
        <v>1009.1527122458342</v>
      </c>
      <c r="M972" s="359">
        <f t="shared" ca="1" si="451"/>
        <v>-1.4344317467489291</v>
      </c>
      <c r="N972" s="357">
        <f t="shared" ca="1" si="452"/>
        <v>-82.186885088292186</v>
      </c>
      <c r="O972" s="343"/>
      <c r="P972" s="363">
        <f t="shared" ca="1" si="453"/>
        <v>23</v>
      </c>
      <c r="Q972" s="357">
        <f t="shared" ca="1" si="454"/>
        <v>0</v>
      </c>
      <c r="R972" s="359">
        <f t="shared" ca="1" si="455"/>
        <v>0</v>
      </c>
      <c r="S972" s="360">
        <f t="shared" ca="1" si="456"/>
        <v>8.6519999999999992</v>
      </c>
      <c r="T972" s="357">
        <f t="shared" ca="1" si="436"/>
        <v>84.87612</v>
      </c>
      <c r="U972" s="364">
        <f t="shared" ca="1" si="437"/>
        <v>0</v>
      </c>
      <c r="V972" s="359">
        <f t="shared" ca="1" si="438"/>
        <v>1.2267642437906239</v>
      </c>
      <c r="W972" s="357">
        <f t="shared" ca="1" si="439"/>
        <v>52.500626447828687</v>
      </c>
      <c r="X972" s="343"/>
      <c r="Y972" s="367" t="str">
        <f t="shared" ca="1" si="457"/>
        <v/>
      </c>
      <c r="Z972" s="368" t="str">
        <f t="shared" ca="1" si="458"/>
        <v/>
      </c>
      <c r="AA972" s="369" t="str">
        <f t="shared" ca="1" si="459"/>
        <v/>
      </c>
      <c r="AB972" s="344"/>
      <c r="AC972" s="363" t="e">
        <f t="shared" ca="1" si="460"/>
        <v>#N/A</v>
      </c>
      <c r="AD972" s="376" t="e">
        <f t="shared" ca="1" si="461"/>
        <v>#N/A</v>
      </c>
      <c r="AE972" s="377" t="e">
        <f t="shared" ca="1" si="440"/>
        <v>#N/A</v>
      </c>
      <c r="AF972" s="344"/>
      <c r="AG972" s="359">
        <f t="shared" ca="1" si="462"/>
        <v>3.6509369380721965</v>
      </c>
      <c r="AH972" s="357">
        <f t="shared" ca="1" si="463"/>
        <v>-6.067993080519698</v>
      </c>
    </row>
    <row r="973" spans="1:34" x14ac:dyDescent="0.25">
      <c r="A973" s="402">
        <f t="shared" ca="1" si="441"/>
        <v>1E-4</v>
      </c>
      <c r="B973" s="357">
        <f t="shared" ca="1" si="442"/>
        <v>35.625300000001033</v>
      </c>
      <c r="C973" s="342"/>
      <c r="D973" s="359">
        <f t="shared" ca="1" si="443"/>
        <v>-0.82490274012873765</v>
      </c>
      <c r="E973" s="360">
        <f t="shared" ca="1" si="444"/>
        <v>-3.7982975060104884</v>
      </c>
      <c r="F973" s="357">
        <f t="shared" ca="1" si="445"/>
        <v>3.8868404231248541</v>
      </c>
      <c r="G973" s="359">
        <f t="shared" ca="1" si="446"/>
        <v>18.692385718509506</v>
      </c>
      <c r="H973" s="360">
        <f t="shared" ca="1" si="447"/>
        <v>-136.22681269627992</v>
      </c>
      <c r="I973" s="357">
        <f t="shared" ca="1" si="448"/>
        <v>137.50327189284212</v>
      </c>
      <c r="J973" s="359">
        <f t="shared" ca="1" si="449"/>
        <v>1009.0500868209435</v>
      </c>
      <c r="K973" s="360">
        <f t="shared" ca="1" si="450"/>
        <v>-14.405249386519284</v>
      </c>
      <c r="L973" s="357">
        <f t="shared" ca="1" si="435"/>
        <v>1009.1529066118977</v>
      </c>
      <c r="M973" s="359">
        <f t="shared" ca="1" si="451"/>
        <v>-1.4344327166127222</v>
      </c>
      <c r="N973" s="357">
        <f t="shared" ca="1" si="452"/>
        <v>-82.186940657394231</v>
      </c>
      <c r="O973" s="343"/>
      <c r="P973" s="363">
        <f t="shared" ca="1" si="453"/>
        <v>23</v>
      </c>
      <c r="Q973" s="357">
        <f t="shared" ca="1" si="454"/>
        <v>0</v>
      </c>
      <c r="R973" s="359">
        <f t="shared" ca="1" si="455"/>
        <v>0</v>
      </c>
      <c r="S973" s="360">
        <f t="shared" ca="1" si="456"/>
        <v>8.6519999999999992</v>
      </c>
      <c r="T973" s="357">
        <f t="shared" ca="1" si="436"/>
        <v>84.87612</v>
      </c>
      <c r="U973" s="364">
        <f t="shared" ca="1" si="437"/>
        <v>0</v>
      </c>
      <c r="V973" s="359">
        <f t="shared" ca="1" si="438"/>
        <v>1.2267659149721273</v>
      </c>
      <c r="W973" s="357">
        <f t="shared" ca="1" si="439"/>
        <v>52.50097676180458</v>
      </c>
      <c r="X973" s="343"/>
      <c r="Y973" s="367" t="str">
        <f t="shared" ca="1" si="457"/>
        <v/>
      </c>
      <c r="Z973" s="368" t="str">
        <f t="shared" ca="1" si="458"/>
        <v/>
      </c>
      <c r="AA973" s="369" t="str">
        <f t="shared" ca="1" si="459"/>
        <v/>
      </c>
      <c r="AB973" s="344"/>
      <c r="AC973" s="363" t="e">
        <f t="shared" ca="1" si="460"/>
        <v>#N/A</v>
      </c>
      <c r="AD973" s="376" t="e">
        <f t="shared" ca="1" si="461"/>
        <v>#N/A</v>
      </c>
      <c r="AE973" s="377" t="e">
        <f t="shared" ca="1" si="440"/>
        <v>#N/A</v>
      </c>
      <c r="AF973" s="344"/>
      <c r="AG973" s="359">
        <f t="shared" ca="1" si="462"/>
        <v>3.6508977419922015</v>
      </c>
      <c r="AH973" s="357">
        <f t="shared" ca="1" si="463"/>
        <v>-6.0680335700218091</v>
      </c>
    </row>
    <row r="974" spans="1:34" x14ac:dyDescent="0.25">
      <c r="A974" s="402">
        <f t="shared" ca="1" si="441"/>
        <v>1E-4</v>
      </c>
      <c r="B974" s="357">
        <f t="shared" ca="1" si="442"/>
        <v>35.625400000001036</v>
      </c>
      <c r="C974" s="342"/>
      <c r="D974" s="359">
        <f t="shared" ca="1" si="443"/>
        <v>-0.82490241377610951</v>
      </c>
      <c r="E974" s="360">
        <f t="shared" ca="1" si="444"/>
        <v>-3.7982565924737521</v>
      </c>
      <c r="F974" s="357">
        <f t="shared" ca="1" si="445"/>
        <v>3.8868003723530711</v>
      </c>
      <c r="G974" s="359">
        <f t="shared" ca="1" si="446"/>
        <v>18.692303228268127</v>
      </c>
      <c r="H974" s="360">
        <f t="shared" ca="1" si="447"/>
        <v>-136.22719252193917</v>
      </c>
      <c r="I974" s="357">
        <f t="shared" ca="1" si="448"/>
        <v>137.50363697876139</v>
      </c>
      <c r="J974" s="359">
        <f t="shared" ca="1" si="449"/>
        <v>1009.0500868209435</v>
      </c>
      <c r="K974" s="360">
        <f t="shared" ca="1" si="450"/>
        <v>-14.418872086780194</v>
      </c>
      <c r="L974" s="357">
        <f t="shared" ca="1" si="435"/>
        <v>1009.15310116236</v>
      </c>
      <c r="M974" s="359">
        <f t="shared" ca="1" si="451"/>
        <v>-1.434433686467085</v>
      </c>
      <c r="N974" s="357">
        <f t="shared" ca="1" si="452"/>
        <v>-82.186996225955966</v>
      </c>
      <c r="O974" s="343"/>
      <c r="P974" s="363">
        <f t="shared" ca="1" si="453"/>
        <v>23</v>
      </c>
      <c r="Q974" s="357">
        <f t="shared" ca="1" si="454"/>
        <v>0</v>
      </c>
      <c r="R974" s="359">
        <f t="shared" ca="1" si="455"/>
        <v>0</v>
      </c>
      <c r="S974" s="360">
        <f t="shared" ca="1" si="456"/>
        <v>8.6519999999999992</v>
      </c>
      <c r="T974" s="357">
        <f t="shared" ca="1" si="436"/>
        <v>84.87612</v>
      </c>
      <c r="U974" s="364">
        <f t="shared" ca="1" si="437"/>
        <v>0</v>
      </c>
      <c r="V974" s="359">
        <f t="shared" ca="1" si="438"/>
        <v>1.2267675861605682</v>
      </c>
      <c r="W974" s="357">
        <f t="shared" ca="1" si="439"/>
        <v>52.501327074584061</v>
      </c>
      <c r="X974" s="343"/>
      <c r="Y974" s="367" t="str">
        <f t="shared" ca="1" si="457"/>
        <v/>
      </c>
      <c r="Z974" s="368" t="str">
        <f t="shared" ca="1" si="458"/>
        <v/>
      </c>
      <c r="AA974" s="369" t="str">
        <f t="shared" ca="1" si="459"/>
        <v/>
      </c>
      <c r="AB974" s="344"/>
      <c r="AC974" s="363" t="e">
        <f t="shared" ca="1" si="460"/>
        <v>#N/A</v>
      </c>
      <c r="AD974" s="376" t="e">
        <f t="shared" ca="1" si="461"/>
        <v>#N/A</v>
      </c>
      <c r="AE974" s="377" t="e">
        <f t="shared" ca="1" si="440"/>
        <v>#N/A</v>
      </c>
      <c r="AF974" s="344"/>
      <c r="AG974" s="359">
        <f t="shared" ca="1" si="462"/>
        <v>3.6508585460287657</v>
      </c>
      <c r="AH974" s="357">
        <f t="shared" ca="1" si="463"/>
        <v>-6.0680740593856433</v>
      </c>
    </row>
    <row r="975" spans="1:34" x14ac:dyDescent="0.25">
      <c r="A975" s="402">
        <f t="shared" ca="1" si="441"/>
        <v>1E-4</v>
      </c>
      <c r="B975" s="357">
        <f t="shared" ca="1" si="442"/>
        <v>35.62550000000104</v>
      </c>
      <c r="C975" s="342"/>
      <c r="D975" s="359">
        <f t="shared" ca="1" si="443"/>
        <v>-0.82490208738279058</v>
      </c>
      <c r="E975" s="360">
        <f t="shared" ca="1" si="444"/>
        <v>-3.7982156790767716</v>
      </c>
      <c r="F975" s="357">
        <f t="shared" ca="1" si="445"/>
        <v>3.8867603217272233</v>
      </c>
      <c r="G975" s="359">
        <f t="shared" ca="1" si="446"/>
        <v>18.69222073805939</v>
      </c>
      <c r="H975" s="360">
        <f t="shared" ca="1" si="447"/>
        <v>-136.22757234350709</v>
      </c>
      <c r="I975" s="357">
        <f t="shared" ca="1" si="448"/>
        <v>137.50400206076111</v>
      </c>
      <c r="J975" s="359">
        <f t="shared" ca="1" si="449"/>
        <v>1009.0500868209435</v>
      </c>
      <c r="K975" s="360">
        <f t="shared" ca="1" si="450"/>
        <v>-14.432494825023467</v>
      </c>
      <c r="L975" s="357">
        <f t="shared" ca="1" si="435"/>
        <v>1009.153295897223</v>
      </c>
      <c r="M975" s="359">
        <f t="shared" ca="1" si="451"/>
        <v>-1.4344346563120176</v>
      </c>
      <c r="N975" s="357">
        <f t="shared" ca="1" si="452"/>
        <v>-82.187051793977375</v>
      </c>
      <c r="O975" s="343"/>
      <c r="P975" s="363">
        <f t="shared" ca="1" si="453"/>
        <v>23</v>
      </c>
      <c r="Q975" s="357">
        <f t="shared" ca="1" si="454"/>
        <v>0</v>
      </c>
      <c r="R975" s="359">
        <f t="shared" ca="1" si="455"/>
        <v>0</v>
      </c>
      <c r="S975" s="360">
        <f t="shared" ca="1" si="456"/>
        <v>8.6519999999999992</v>
      </c>
      <c r="T975" s="357">
        <f t="shared" ca="1" si="436"/>
        <v>84.87612</v>
      </c>
      <c r="U975" s="364">
        <f t="shared" ca="1" si="437"/>
        <v>0</v>
      </c>
      <c r="V975" s="359">
        <f t="shared" ca="1" si="438"/>
        <v>1.2267692573559472</v>
      </c>
      <c r="W975" s="357">
        <f t="shared" ca="1" si="439"/>
        <v>52.501677386167131</v>
      </c>
      <c r="X975" s="343"/>
      <c r="Y975" s="367" t="str">
        <f t="shared" ca="1" si="457"/>
        <v/>
      </c>
      <c r="Z975" s="368" t="str">
        <f t="shared" ca="1" si="458"/>
        <v/>
      </c>
      <c r="AA975" s="369" t="str">
        <f t="shared" ca="1" si="459"/>
        <v/>
      </c>
      <c r="AB975" s="344"/>
      <c r="AC975" s="363" t="e">
        <f t="shared" ca="1" si="460"/>
        <v>#N/A</v>
      </c>
      <c r="AD975" s="376" t="e">
        <f t="shared" ca="1" si="461"/>
        <v>#N/A</v>
      </c>
      <c r="AE975" s="377" t="e">
        <f t="shared" ca="1" si="440"/>
        <v>#N/A</v>
      </c>
      <c r="AF975" s="344"/>
      <c r="AG975" s="359">
        <f t="shared" ca="1" si="462"/>
        <v>3.6508193501818953</v>
      </c>
      <c r="AH975" s="357">
        <f t="shared" ca="1" si="463"/>
        <v>-6.068114548611196</v>
      </c>
    </row>
    <row r="976" spans="1:34" x14ac:dyDescent="0.25">
      <c r="A976" s="402">
        <f t="shared" ca="1" si="441"/>
        <v>1E-4</v>
      </c>
      <c r="B976" s="357">
        <f t="shared" ca="1" si="442"/>
        <v>35.625600000001043</v>
      </c>
      <c r="C976" s="342"/>
      <c r="D976" s="359">
        <f t="shared" ca="1" si="443"/>
        <v>-0.82490176094878231</v>
      </c>
      <c r="E976" s="360">
        <f t="shared" ca="1" si="444"/>
        <v>-3.7981747658195459</v>
      </c>
      <c r="F976" s="357">
        <f t="shared" ca="1" si="445"/>
        <v>3.8867202712473103</v>
      </c>
      <c r="G976" s="359">
        <f t="shared" ca="1" si="446"/>
        <v>18.692138247883296</v>
      </c>
      <c r="H976" s="360">
        <f t="shared" ca="1" si="447"/>
        <v>-136.22795216098368</v>
      </c>
      <c r="I976" s="357">
        <f t="shared" ca="1" si="448"/>
        <v>137.50436713884122</v>
      </c>
      <c r="J976" s="359">
        <f t="shared" ca="1" si="449"/>
        <v>1009.0500868209435</v>
      </c>
      <c r="K976" s="360">
        <f t="shared" ca="1" si="450"/>
        <v>-14.446117601248691</v>
      </c>
      <c r="L976" s="357">
        <f t="shared" ca="1" si="435"/>
        <v>1009.1534908164876</v>
      </c>
      <c r="M976" s="359">
        <f t="shared" ca="1" si="451"/>
        <v>-1.4344356261475204</v>
      </c>
      <c r="N976" s="357">
        <f t="shared" ca="1" si="452"/>
        <v>-82.187107361458516</v>
      </c>
      <c r="O976" s="343"/>
      <c r="P976" s="363">
        <f t="shared" ca="1" si="453"/>
        <v>23</v>
      </c>
      <c r="Q976" s="357">
        <f t="shared" ca="1" si="454"/>
        <v>0</v>
      </c>
      <c r="R976" s="359">
        <f t="shared" ca="1" si="455"/>
        <v>0</v>
      </c>
      <c r="S976" s="360">
        <f t="shared" ca="1" si="456"/>
        <v>8.6519999999999992</v>
      </c>
      <c r="T976" s="357">
        <f t="shared" ca="1" si="436"/>
        <v>84.87612</v>
      </c>
      <c r="U976" s="364">
        <f t="shared" ca="1" si="437"/>
        <v>0</v>
      </c>
      <c r="V976" s="359">
        <f t="shared" ca="1" si="438"/>
        <v>1.226770928558264</v>
      </c>
      <c r="W976" s="357">
        <f t="shared" ca="1" si="439"/>
        <v>52.502027696553739</v>
      </c>
      <c r="X976" s="343"/>
      <c r="Y976" s="367" t="str">
        <f t="shared" ca="1" si="457"/>
        <v/>
      </c>
      <c r="Z976" s="368" t="str">
        <f t="shared" ca="1" si="458"/>
        <v/>
      </c>
      <c r="AA976" s="369" t="str">
        <f t="shared" ca="1" si="459"/>
        <v/>
      </c>
      <c r="AB976" s="344"/>
      <c r="AC976" s="363" t="e">
        <f t="shared" ca="1" si="460"/>
        <v>#N/A</v>
      </c>
      <c r="AD976" s="376" t="e">
        <f t="shared" ca="1" si="461"/>
        <v>#N/A</v>
      </c>
      <c r="AE976" s="377" t="e">
        <f t="shared" ca="1" si="440"/>
        <v>#N/A</v>
      </c>
      <c r="AF976" s="344"/>
      <c r="AG976" s="359">
        <f t="shared" ca="1" si="462"/>
        <v>3.6507801544515859</v>
      </c>
      <c r="AH976" s="357">
        <f t="shared" ca="1" si="463"/>
        <v>-6.0681550376984665</v>
      </c>
    </row>
    <row r="977" spans="1:34" x14ac:dyDescent="0.25">
      <c r="A977" s="402">
        <f t="shared" ca="1" si="441"/>
        <v>1E-4</v>
      </c>
      <c r="B977" s="357">
        <f t="shared" ca="1" si="442"/>
        <v>35.625700000001046</v>
      </c>
      <c r="C977" s="342"/>
      <c r="D977" s="359">
        <f t="shared" ca="1" si="443"/>
        <v>-0.82490143447408326</v>
      </c>
      <c r="E977" s="360">
        <f t="shared" ca="1" si="444"/>
        <v>-3.7981338527020814</v>
      </c>
      <c r="F977" s="357">
        <f t="shared" ca="1" si="445"/>
        <v>3.8866802209133384</v>
      </c>
      <c r="G977" s="359">
        <f t="shared" ca="1" si="446"/>
        <v>18.692055757739848</v>
      </c>
      <c r="H977" s="360">
        <f t="shared" ca="1" si="447"/>
        <v>-136.22833197436896</v>
      </c>
      <c r="I977" s="357">
        <f t="shared" ca="1" si="448"/>
        <v>137.50473221300177</v>
      </c>
      <c r="J977" s="359">
        <f t="shared" ca="1" si="449"/>
        <v>1009.0500868209435</v>
      </c>
      <c r="K977" s="360">
        <f t="shared" ca="1" si="450"/>
        <v>-14.459740415455459</v>
      </c>
      <c r="L977" s="357">
        <f t="shared" ca="1" si="435"/>
        <v>1009.1536859201556</v>
      </c>
      <c r="M977" s="359">
        <f t="shared" ca="1" si="451"/>
        <v>-1.4344365959735934</v>
      </c>
      <c r="N977" s="357">
        <f t="shared" ca="1" si="452"/>
        <v>-82.18716292839936</v>
      </c>
      <c r="O977" s="343"/>
      <c r="P977" s="363">
        <f t="shared" ca="1" si="453"/>
        <v>23</v>
      </c>
      <c r="Q977" s="357">
        <f t="shared" ca="1" si="454"/>
        <v>0</v>
      </c>
      <c r="R977" s="359">
        <f t="shared" ca="1" si="455"/>
        <v>0</v>
      </c>
      <c r="S977" s="360">
        <f t="shared" ca="1" si="456"/>
        <v>8.6519999999999992</v>
      </c>
      <c r="T977" s="357">
        <f t="shared" ca="1" si="436"/>
        <v>84.87612</v>
      </c>
      <c r="U977" s="364">
        <f t="shared" ca="1" si="437"/>
        <v>0</v>
      </c>
      <c r="V977" s="359">
        <f t="shared" ca="1" si="438"/>
        <v>1.2267725997675183</v>
      </c>
      <c r="W977" s="357">
        <f t="shared" ca="1" si="439"/>
        <v>52.502378005743871</v>
      </c>
      <c r="X977" s="343"/>
      <c r="Y977" s="367" t="str">
        <f t="shared" ca="1" si="457"/>
        <v/>
      </c>
      <c r="Z977" s="368" t="str">
        <f t="shared" ca="1" si="458"/>
        <v/>
      </c>
      <c r="AA977" s="369" t="str">
        <f t="shared" ca="1" si="459"/>
        <v/>
      </c>
      <c r="AB977" s="344"/>
      <c r="AC977" s="363" t="e">
        <f t="shared" ca="1" si="460"/>
        <v>#N/A</v>
      </c>
      <c r="AD977" s="376" t="e">
        <f t="shared" ca="1" si="461"/>
        <v>#N/A</v>
      </c>
      <c r="AE977" s="377" t="e">
        <f t="shared" ca="1" si="440"/>
        <v>#N/A</v>
      </c>
      <c r="AF977" s="344"/>
      <c r="AG977" s="359">
        <f t="shared" ca="1" si="462"/>
        <v>3.650740958837849</v>
      </c>
      <c r="AH977" s="357">
        <f t="shared" ca="1" si="463"/>
        <v>-6.0681955266474503</v>
      </c>
    </row>
    <row r="978" spans="1:34" x14ac:dyDescent="0.25">
      <c r="A978" s="402">
        <f t="shared" ca="1" si="441"/>
        <v>1E-4</v>
      </c>
      <c r="B978" s="357">
        <f t="shared" ca="1" si="442"/>
        <v>35.62580000000105</v>
      </c>
      <c r="C978" s="342"/>
      <c r="D978" s="359">
        <f t="shared" ca="1" si="443"/>
        <v>-0.82490110795869431</v>
      </c>
      <c r="E978" s="360">
        <f t="shared" ca="1" si="444"/>
        <v>-3.7980929397243788</v>
      </c>
      <c r="F978" s="357">
        <f t="shared" ca="1" si="445"/>
        <v>3.8866401707253084</v>
      </c>
      <c r="G978" s="359">
        <f t="shared" ca="1" si="446"/>
        <v>18.691973267629052</v>
      </c>
      <c r="H978" s="360">
        <f t="shared" ca="1" si="447"/>
        <v>-136.22871178366293</v>
      </c>
      <c r="I978" s="357">
        <f t="shared" ca="1" si="448"/>
        <v>137.5050972832428</v>
      </c>
      <c r="J978" s="359">
        <f t="shared" ca="1" si="449"/>
        <v>1009.0500868209435</v>
      </c>
      <c r="K978" s="360">
        <f t="shared" ca="1" si="450"/>
        <v>-14.473363267643361</v>
      </c>
      <c r="L978" s="357">
        <f t="shared" ca="1" si="435"/>
        <v>1009.1538812082282</v>
      </c>
      <c r="M978" s="359">
        <f t="shared" ca="1" si="451"/>
        <v>-1.4344375657902368</v>
      </c>
      <c r="N978" s="357">
        <f t="shared" ca="1" si="452"/>
        <v>-82.187218494799936</v>
      </c>
      <c r="O978" s="343"/>
      <c r="P978" s="363">
        <f t="shared" ca="1" si="453"/>
        <v>23</v>
      </c>
      <c r="Q978" s="357">
        <f t="shared" ca="1" si="454"/>
        <v>0</v>
      </c>
      <c r="R978" s="359">
        <f t="shared" ca="1" si="455"/>
        <v>0</v>
      </c>
      <c r="S978" s="360">
        <f t="shared" ca="1" si="456"/>
        <v>8.6519999999999992</v>
      </c>
      <c r="T978" s="357">
        <f t="shared" ca="1" si="436"/>
        <v>84.87612</v>
      </c>
      <c r="U978" s="364">
        <f t="shared" ca="1" si="437"/>
        <v>0</v>
      </c>
      <c r="V978" s="359">
        <f t="shared" ca="1" si="438"/>
        <v>1.2267742709837106</v>
      </c>
      <c r="W978" s="357">
        <f t="shared" ca="1" si="439"/>
        <v>52.502728313737542</v>
      </c>
      <c r="X978" s="343"/>
      <c r="Y978" s="367" t="str">
        <f t="shared" ca="1" si="457"/>
        <v/>
      </c>
      <c r="Z978" s="368" t="str">
        <f t="shared" ca="1" si="458"/>
        <v/>
      </c>
      <c r="AA978" s="369" t="str">
        <f t="shared" ca="1" si="459"/>
        <v/>
      </c>
      <c r="AB978" s="344"/>
      <c r="AC978" s="363" t="e">
        <f t="shared" ca="1" si="460"/>
        <v>#N/A</v>
      </c>
      <c r="AD978" s="376" t="e">
        <f t="shared" ca="1" si="461"/>
        <v>#N/A</v>
      </c>
      <c r="AE978" s="377" t="e">
        <f t="shared" ca="1" si="440"/>
        <v>#N/A</v>
      </c>
      <c r="AF978" s="344"/>
      <c r="AG978" s="359">
        <f t="shared" ca="1" si="462"/>
        <v>3.6507017633406846</v>
      </c>
      <c r="AH978" s="357">
        <f t="shared" ca="1" si="463"/>
        <v>-6.0682360154581456</v>
      </c>
    </row>
    <row r="979" spans="1:34" x14ac:dyDescent="0.25">
      <c r="A979" s="402">
        <f t="shared" ca="1" si="441"/>
        <v>1E-4</v>
      </c>
      <c r="B979" s="357">
        <f t="shared" ca="1" si="442"/>
        <v>35.625900000001053</v>
      </c>
      <c r="C979" s="342"/>
      <c r="D979" s="359">
        <f t="shared" ca="1" si="443"/>
        <v>-0.82490078140261613</v>
      </c>
      <c r="E979" s="360">
        <f t="shared" ca="1" si="444"/>
        <v>-3.7980520268864373</v>
      </c>
      <c r="F979" s="357">
        <f t="shared" ca="1" si="445"/>
        <v>3.8866001206832204</v>
      </c>
      <c r="G979" s="359">
        <f t="shared" ca="1" si="446"/>
        <v>18.691890777550913</v>
      </c>
      <c r="H979" s="360">
        <f t="shared" ca="1" si="447"/>
        <v>-136.22909158886563</v>
      </c>
      <c r="I979" s="357">
        <f t="shared" ca="1" si="448"/>
        <v>137.50546234956425</v>
      </c>
      <c r="J979" s="359">
        <f t="shared" ca="1" si="449"/>
        <v>1009.0500868209435</v>
      </c>
      <c r="K979" s="360">
        <f t="shared" ca="1" si="450"/>
        <v>-14.486986157811987</v>
      </c>
      <c r="L979" s="357">
        <f t="shared" ca="1" si="435"/>
        <v>1009.154076680707</v>
      </c>
      <c r="M979" s="359">
        <f t="shared" ca="1" si="451"/>
        <v>-1.4344385355974507</v>
      </c>
      <c r="N979" s="357">
        <f t="shared" ca="1" si="452"/>
        <v>-82.187274060660229</v>
      </c>
      <c r="O979" s="343"/>
      <c r="P979" s="363">
        <f t="shared" ca="1" si="453"/>
        <v>23</v>
      </c>
      <c r="Q979" s="357">
        <f t="shared" ca="1" si="454"/>
        <v>0</v>
      </c>
      <c r="R979" s="359">
        <f t="shared" ca="1" si="455"/>
        <v>0</v>
      </c>
      <c r="S979" s="360">
        <f t="shared" ca="1" si="456"/>
        <v>8.6519999999999992</v>
      </c>
      <c r="T979" s="357">
        <f t="shared" ca="1" si="436"/>
        <v>84.87612</v>
      </c>
      <c r="U979" s="364">
        <f t="shared" ca="1" si="437"/>
        <v>0</v>
      </c>
      <c r="V979" s="359">
        <f t="shared" ca="1" si="438"/>
        <v>1.2267759422068403</v>
      </c>
      <c r="W979" s="357">
        <f t="shared" ca="1" si="439"/>
        <v>52.503078620534652</v>
      </c>
      <c r="X979" s="343"/>
      <c r="Y979" s="367" t="str">
        <f t="shared" ca="1" si="457"/>
        <v/>
      </c>
      <c r="Z979" s="368" t="str">
        <f t="shared" ca="1" si="458"/>
        <v/>
      </c>
      <c r="AA979" s="369" t="str">
        <f t="shared" ca="1" si="459"/>
        <v/>
      </c>
      <c r="AB979" s="344"/>
      <c r="AC979" s="363" t="e">
        <f t="shared" ca="1" si="460"/>
        <v>#N/A</v>
      </c>
      <c r="AD979" s="376" t="e">
        <f t="shared" ca="1" si="461"/>
        <v>#N/A</v>
      </c>
      <c r="AE979" s="377" t="e">
        <f t="shared" ca="1" si="440"/>
        <v>#N/A</v>
      </c>
      <c r="AF979" s="344"/>
      <c r="AG979" s="359">
        <f t="shared" ca="1" si="462"/>
        <v>3.6506625679600919</v>
      </c>
      <c r="AH979" s="357">
        <f t="shared" ca="1" si="463"/>
        <v>-6.0682765041305533</v>
      </c>
    </row>
    <row r="980" spans="1:34" x14ac:dyDescent="0.25">
      <c r="A980" s="402">
        <f t="shared" ca="1" si="441"/>
        <v>1E-4</v>
      </c>
      <c r="B980" s="357">
        <f t="shared" ca="1" si="442"/>
        <v>35.626000000001056</v>
      </c>
      <c r="C980" s="342"/>
      <c r="D980" s="359">
        <f t="shared" ca="1" si="443"/>
        <v>-0.82490045480584862</v>
      </c>
      <c r="E980" s="360">
        <f t="shared" ca="1" si="444"/>
        <v>-3.7980111141882684</v>
      </c>
      <c r="F980" s="357">
        <f t="shared" ca="1" si="445"/>
        <v>3.8865600707870844</v>
      </c>
      <c r="G980" s="359">
        <f t="shared" ca="1" si="446"/>
        <v>18.691808287505431</v>
      </c>
      <c r="H980" s="360">
        <f t="shared" ca="1" si="447"/>
        <v>-136.22947138997705</v>
      </c>
      <c r="I980" s="357">
        <f t="shared" ca="1" si="448"/>
        <v>137.50582741196618</v>
      </c>
      <c r="J980" s="359">
        <f t="shared" ca="1" si="449"/>
        <v>1009.0500868209435</v>
      </c>
      <c r="K980" s="360">
        <f t="shared" ca="1" si="450"/>
        <v>-14.50060908596093</v>
      </c>
      <c r="L980" s="357">
        <f t="shared" ca="1" si="435"/>
        <v>1009.1542723375934</v>
      </c>
      <c r="M980" s="359">
        <f t="shared" ca="1" si="451"/>
        <v>-1.4344395053952352</v>
      </c>
      <c r="N980" s="357">
        <f t="shared" ca="1" si="452"/>
        <v>-82.187329625980254</v>
      </c>
      <c r="O980" s="343"/>
      <c r="P980" s="363">
        <f t="shared" ca="1" si="453"/>
        <v>23</v>
      </c>
      <c r="Q980" s="357">
        <f t="shared" ca="1" si="454"/>
        <v>0</v>
      </c>
      <c r="R980" s="359">
        <f t="shared" ca="1" si="455"/>
        <v>0</v>
      </c>
      <c r="S980" s="360">
        <f t="shared" ca="1" si="456"/>
        <v>8.6519999999999992</v>
      </c>
      <c r="T980" s="357">
        <f t="shared" ca="1" si="436"/>
        <v>84.87612</v>
      </c>
      <c r="U980" s="364">
        <f t="shared" ca="1" si="437"/>
        <v>0</v>
      </c>
      <c r="V980" s="359">
        <f t="shared" ca="1" si="438"/>
        <v>1.2267776134369079</v>
      </c>
      <c r="W980" s="357">
        <f t="shared" ca="1" si="439"/>
        <v>52.503428926135264</v>
      </c>
      <c r="X980" s="343"/>
      <c r="Y980" s="367" t="str">
        <f t="shared" ca="1" si="457"/>
        <v/>
      </c>
      <c r="Z980" s="368" t="str">
        <f t="shared" ca="1" si="458"/>
        <v/>
      </c>
      <c r="AA980" s="369" t="str">
        <f t="shared" ca="1" si="459"/>
        <v/>
      </c>
      <c r="AB980" s="344"/>
      <c r="AC980" s="363" t="e">
        <f t="shared" ca="1" si="460"/>
        <v>#N/A</v>
      </c>
      <c r="AD980" s="376" t="e">
        <f t="shared" ca="1" si="461"/>
        <v>#N/A</v>
      </c>
      <c r="AE980" s="377" t="e">
        <f t="shared" ca="1" si="440"/>
        <v>#N/A</v>
      </c>
      <c r="AF980" s="344"/>
      <c r="AG980" s="359">
        <f t="shared" ca="1" si="462"/>
        <v>3.6506233726960824</v>
      </c>
      <c r="AH980" s="357">
        <f t="shared" ca="1" si="463"/>
        <v>-6.0683169926646618</v>
      </c>
    </row>
    <row r="981" spans="1:34" x14ac:dyDescent="0.25">
      <c r="A981" s="402">
        <f t="shared" ca="1" si="441"/>
        <v>1E-4</v>
      </c>
      <c r="B981" s="357">
        <f t="shared" ca="1" si="442"/>
        <v>35.62610000000106</v>
      </c>
      <c r="C981" s="342"/>
      <c r="D981" s="359">
        <f t="shared" ca="1" si="443"/>
        <v>-0.82490012816839298</v>
      </c>
      <c r="E981" s="360">
        <f t="shared" ca="1" si="444"/>
        <v>-3.7979702016298642</v>
      </c>
      <c r="F981" s="357">
        <f t="shared" ca="1" si="445"/>
        <v>3.8865200210368944</v>
      </c>
      <c r="G981" s="359">
        <f t="shared" ca="1" si="446"/>
        <v>18.691725797492616</v>
      </c>
      <c r="H981" s="360">
        <f t="shared" ca="1" si="447"/>
        <v>-136.22985118699722</v>
      </c>
      <c r="I981" s="357">
        <f t="shared" ca="1" si="448"/>
        <v>137.50619247044861</v>
      </c>
      <c r="J981" s="359">
        <f t="shared" ca="1" si="449"/>
        <v>1009.0500868209435</v>
      </c>
      <c r="K981" s="360">
        <f t="shared" ca="1" si="450"/>
        <v>-14.514232052089778</v>
      </c>
      <c r="L981" s="357">
        <f t="shared" ca="1" si="435"/>
        <v>1009.1544681788887</v>
      </c>
      <c r="M981" s="359">
        <f t="shared" ca="1" si="451"/>
        <v>-1.4344404751835906</v>
      </c>
      <c r="N981" s="357">
        <f t="shared" ca="1" si="452"/>
        <v>-82.18738519076004</v>
      </c>
      <c r="O981" s="343"/>
      <c r="P981" s="363">
        <f t="shared" ca="1" si="453"/>
        <v>23</v>
      </c>
      <c r="Q981" s="357">
        <f t="shared" ca="1" si="454"/>
        <v>0</v>
      </c>
      <c r="R981" s="359">
        <f t="shared" ca="1" si="455"/>
        <v>0</v>
      </c>
      <c r="S981" s="360">
        <f t="shared" ca="1" si="456"/>
        <v>8.6519999999999992</v>
      </c>
      <c r="T981" s="357">
        <f t="shared" ca="1" si="436"/>
        <v>84.87612</v>
      </c>
      <c r="U981" s="364">
        <f t="shared" ca="1" si="437"/>
        <v>0</v>
      </c>
      <c r="V981" s="359">
        <f t="shared" ca="1" si="438"/>
        <v>1.2267792846739134</v>
      </c>
      <c r="W981" s="357">
        <f t="shared" ca="1" si="439"/>
        <v>52.50377923053933</v>
      </c>
      <c r="X981" s="343"/>
      <c r="Y981" s="367" t="str">
        <f t="shared" ca="1" si="457"/>
        <v/>
      </c>
      <c r="Z981" s="368" t="str">
        <f t="shared" ca="1" si="458"/>
        <v/>
      </c>
      <c r="AA981" s="369" t="str">
        <f t="shared" ca="1" si="459"/>
        <v/>
      </c>
      <c r="AB981" s="344"/>
      <c r="AC981" s="363" t="e">
        <f t="shared" ca="1" si="460"/>
        <v>#N/A</v>
      </c>
      <c r="AD981" s="376" t="e">
        <f t="shared" ca="1" si="461"/>
        <v>#N/A</v>
      </c>
      <c r="AE981" s="377" t="e">
        <f t="shared" ca="1" si="440"/>
        <v>#N/A</v>
      </c>
      <c r="AF981" s="344"/>
      <c r="AG981" s="359">
        <f t="shared" ca="1" si="462"/>
        <v>3.6505841775486481</v>
      </c>
      <c r="AH981" s="357">
        <f t="shared" ca="1" si="463"/>
        <v>-6.0683574810604792</v>
      </c>
    </row>
    <row r="982" spans="1:34" x14ac:dyDescent="0.25">
      <c r="A982" s="402">
        <f t="shared" ca="1" si="441"/>
        <v>1E-4</v>
      </c>
      <c r="B982" s="357">
        <f t="shared" ca="1" si="442"/>
        <v>35.626200000001063</v>
      </c>
      <c r="C982" s="342"/>
      <c r="D982" s="359">
        <f t="shared" ca="1" si="443"/>
        <v>-0.82489980149024866</v>
      </c>
      <c r="E982" s="360">
        <f t="shared" ca="1" si="444"/>
        <v>-3.7979292892112309</v>
      </c>
      <c r="F982" s="357">
        <f t="shared" ca="1" si="445"/>
        <v>3.8864799714326557</v>
      </c>
      <c r="G982" s="359">
        <f t="shared" ca="1" si="446"/>
        <v>18.691643307512468</v>
      </c>
      <c r="H982" s="360">
        <f t="shared" ca="1" si="447"/>
        <v>-136.23023097992615</v>
      </c>
      <c r="I982" s="357">
        <f t="shared" ca="1" si="448"/>
        <v>137.50655752501154</v>
      </c>
      <c r="J982" s="359">
        <f t="shared" ca="1" si="449"/>
        <v>1009.0500868209435</v>
      </c>
      <c r="K982" s="360">
        <f t="shared" ca="1" si="450"/>
        <v>-14.527855056198124</v>
      </c>
      <c r="L982" s="357">
        <f t="shared" ca="1" si="435"/>
        <v>1009.1546642045944</v>
      </c>
      <c r="M982" s="359">
        <f t="shared" ca="1" si="451"/>
        <v>-1.4344414449625169</v>
      </c>
      <c r="N982" s="357">
        <f t="shared" ca="1" si="452"/>
        <v>-82.187440754999585</v>
      </c>
      <c r="O982" s="343"/>
      <c r="P982" s="363">
        <f t="shared" ca="1" si="453"/>
        <v>23</v>
      </c>
      <c r="Q982" s="357">
        <f t="shared" ca="1" si="454"/>
        <v>0</v>
      </c>
      <c r="R982" s="359">
        <f t="shared" ca="1" si="455"/>
        <v>0</v>
      </c>
      <c r="S982" s="360">
        <f t="shared" ca="1" si="456"/>
        <v>8.6519999999999992</v>
      </c>
      <c r="T982" s="357">
        <f t="shared" ca="1" si="436"/>
        <v>84.87612</v>
      </c>
      <c r="U982" s="364">
        <f t="shared" ca="1" si="437"/>
        <v>0</v>
      </c>
      <c r="V982" s="359">
        <f t="shared" ca="1" si="438"/>
        <v>1.2267809559178564</v>
      </c>
      <c r="W982" s="357">
        <f t="shared" ca="1" si="439"/>
        <v>52.504129533746841</v>
      </c>
      <c r="X982" s="343"/>
      <c r="Y982" s="367" t="str">
        <f t="shared" ca="1" si="457"/>
        <v/>
      </c>
      <c r="Z982" s="368" t="str">
        <f t="shared" ca="1" si="458"/>
        <v/>
      </c>
      <c r="AA982" s="369" t="str">
        <f t="shared" ca="1" si="459"/>
        <v/>
      </c>
      <c r="AB982" s="344"/>
      <c r="AC982" s="363" t="e">
        <f t="shared" ca="1" si="460"/>
        <v>#N/A</v>
      </c>
      <c r="AD982" s="376" t="e">
        <f t="shared" ca="1" si="461"/>
        <v>#N/A</v>
      </c>
      <c r="AE982" s="377" t="e">
        <f t="shared" ca="1" si="440"/>
        <v>#N/A</v>
      </c>
      <c r="AF982" s="344"/>
      <c r="AG982" s="359">
        <f t="shared" ca="1" si="462"/>
        <v>3.650544982517796</v>
      </c>
      <c r="AH982" s="357">
        <f t="shared" ca="1" si="463"/>
        <v>-6.0683979693180001</v>
      </c>
    </row>
    <row r="983" spans="1:34" x14ac:dyDescent="0.25">
      <c r="A983" s="402">
        <f t="shared" ca="1" si="441"/>
        <v>1E-4</v>
      </c>
      <c r="B983" s="357">
        <f t="shared" ca="1" si="442"/>
        <v>35.626300000001066</v>
      </c>
      <c r="C983" s="342"/>
      <c r="D983" s="359">
        <f t="shared" ca="1" si="443"/>
        <v>-0.8248994747714169</v>
      </c>
      <c r="E983" s="360">
        <f t="shared" ca="1" si="444"/>
        <v>-3.797888376932371</v>
      </c>
      <c r="F983" s="357">
        <f t="shared" ca="1" si="445"/>
        <v>3.8864399219743717</v>
      </c>
      <c r="G983" s="359">
        <f t="shared" ca="1" si="446"/>
        <v>18.691560817564991</v>
      </c>
      <c r="H983" s="360">
        <f t="shared" ca="1" si="447"/>
        <v>-136.23061076876385</v>
      </c>
      <c r="I983" s="357">
        <f t="shared" ca="1" si="448"/>
        <v>137.50692257565495</v>
      </c>
      <c r="J983" s="359">
        <f t="shared" ca="1" si="449"/>
        <v>1009.0500868209435</v>
      </c>
      <c r="K983" s="360">
        <f t="shared" ca="1" si="450"/>
        <v>-14.541478098285559</v>
      </c>
      <c r="L983" s="357">
        <f t="shared" ca="1" si="435"/>
        <v>1009.1548604147118</v>
      </c>
      <c r="M983" s="359">
        <f t="shared" ca="1" si="451"/>
        <v>-1.4344424147320143</v>
      </c>
      <c r="N983" s="357">
        <f t="shared" ca="1" si="452"/>
        <v>-82.187496318698877</v>
      </c>
      <c r="O983" s="343"/>
      <c r="P983" s="363">
        <f t="shared" ca="1" si="453"/>
        <v>23</v>
      </c>
      <c r="Q983" s="357">
        <f t="shared" ca="1" si="454"/>
        <v>0</v>
      </c>
      <c r="R983" s="359">
        <f t="shared" ca="1" si="455"/>
        <v>0</v>
      </c>
      <c r="S983" s="360">
        <f t="shared" ca="1" si="456"/>
        <v>8.6519999999999992</v>
      </c>
      <c r="T983" s="357">
        <f t="shared" ca="1" si="436"/>
        <v>84.87612</v>
      </c>
      <c r="U983" s="364">
        <f t="shared" ca="1" si="437"/>
        <v>0</v>
      </c>
      <c r="V983" s="359">
        <f t="shared" ca="1" si="438"/>
        <v>1.2267826271687368</v>
      </c>
      <c r="W983" s="357">
        <f t="shared" ca="1" si="439"/>
        <v>52.504479835757714</v>
      </c>
      <c r="X983" s="343"/>
      <c r="Y983" s="367" t="str">
        <f t="shared" ca="1" si="457"/>
        <v/>
      </c>
      <c r="Z983" s="368" t="str">
        <f t="shared" ca="1" si="458"/>
        <v/>
      </c>
      <c r="AA983" s="369" t="str">
        <f t="shared" ca="1" si="459"/>
        <v/>
      </c>
      <c r="AB983" s="344"/>
      <c r="AC983" s="363" t="e">
        <f t="shared" ca="1" si="460"/>
        <v>#N/A</v>
      </c>
      <c r="AD983" s="376" t="e">
        <f t="shared" ca="1" si="461"/>
        <v>#N/A</v>
      </c>
      <c r="AE983" s="377" t="e">
        <f t="shared" ca="1" si="440"/>
        <v>#N/A</v>
      </c>
      <c r="AF983" s="344"/>
      <c r="AG983" s="359">
        <f t="shared" ca="1" si="462"/>
        <v>3.6505057876035272</v>
      </c>
      <c r="AH983" s="357">
        <f t="shared" ca="1" si="463"/>
        <v>-6.0684384574372219</v>
      </c>
    </row>
    <row r="984" spans="1:34" x14ac:dyDescent="0.25">
      <c r="A984" s="402">
        <f t="shared" ca="1" si="441"/>
        <v>1E-4</v>
      </c>
      <c r="B984" s="357">
        <f t="shared" ca="1" si="442"/>
        <v>35.62640000000107</v>
      </c>
      <c r="C984" s="342"/>
      <c r="D984" s="359">
        <f t="shared" ca="1" si="443"/>
        <v>-0.82489914801189701</v>
      </c>
      <c r="E984" s="360">
        <f t="shared" ca="1" si="444"/>
        <v>-3.7978474647932909</v>
      </c>
      <c r="F984" s="357">
        <f t="shared" ca="1" si="445"/>
        <v>3.8863998726620479</v>
      </c>
      <c r="G984" s="359">
        <f t="shared" ca="1" si="446"/>
        <v>18.691478327650188</v>
      </c>
      <c r="H984" s="360">
        <f t="shared" ca="1" si="447"/>
        <v>-136.23099055351034</v>
      </c>
      <c r="I984" s="357">
        <f t="shared" ca="1" si="448"/>
        <v>137.5072876223789</v>
      </c>
      <c r="J984" s="359">
        <f t="shared" ca="1" si="449"/>
        <v>1009.0500868209435</v>
      </c>
      <c r="K984" s="360">
        <f t="shared" ca="1" si="450"/>
        <v>-14.555101178351673</v>
      </c>
      <c r="L984" s="357">
        <f t="shared" ca="1" si="435"/>
        <v>1009.1550568092426</v>
      </c>
      <c r="M984" s="359">
        <f t="shared" ca="1" si="451"/>
        <v>-1.4344433844920828</v>
      </c>
      <c r="N984" s="357">
        <f t="shared" ca="1" si="452"/>
        <v>-82.187551881857942</v>
      </c>
      <c r="O984" s="343"/>
      <c r="P984" s="363">
        <f t="shared" ca="1" si="453"/>
        <v>23</v>
      </c>
      <c r="Q984" s="357">
        <f t="shared" ca="1" si="454"/>
        <v>0</v>
      </c>
      <c r="R984" s="359">
        <f t="shared" ca="1" si="455"/>
        <v>0</v>
      </c>
      <c r="S984" s="360">
        <f t="shared" ca="1" si="456"/>
        <v>8.6519999999999992</v>
      </c>
      <c r="T984" s="357">
        <f t="shared" ca="1" si="436"/>
        <v>84.87612</v>
      </c>
      <c r="U984" s="364">
        <f t="shared" ca="1" si="437"/>
        <v>0</v>
      </c>
      <c r="V984" s="359">
        <f t="shared" ca="1" si="438"/>
        <v>1.2267842984265547</v>
      </c>
      <c r="W984" s="357">
        <f t="shared" ca="1" si="439"/>
        <v>52.504830136571989</v>
      </c>
      <c r="X984" s="343"/>
      <c r="Y984" s="367" t="str">
        <f t="shared" ca="1" si="457"/>
        <v/>
      </c>
      <c r="Z984" s="368" t="str">
        <f t="shared" ca="1" si="458"/>
        <v/>
      </c>
      <c r="AA984" s="369" t="str">
        <f t="shared" ca="1" si="459"/>
        <v/>
      </c>
      <c r="AB984" s="344"/>
      <c r="AC984" s="363" t="e">
        <f t="shared" ca="1" si="460"/>
        <v>#N/A</v>
      </c>
      <c r="AD984" s="376" t="e">
        <f t="shared" ca="1" si="461"/>
        <v>#N/A</v>
      </c>
      <c r="AE984" s="377" t="e">
        <f t="shared" ca="1" si="440"/>
        <v>#N/A</v>
      </c>
      <c r="AF984" s="344"/>
      <c r="AG984" s="359">
        <f t="shared" ca="1" si="462"/>
        <v>3.6504665928058531</v>
      </c>
      <c r="AH984" s="357">
        <f t="shared" ca="1" si="463"/>
        <v>-6.0684789454181365</v>
      </c>
    </row>
    <row r="985" spans="1:34" x14ac:dyDescent="0.25">
      <c r="A985" s="402">
        <f t="shared" ca="1" si="441"/>
        <v>1E-4</v>
      </c>
      <c r="B985" s="357">
        <f t="shared" ca="1" si="442"/>
        <v>35.626500000001073</v>
      </c>
      <c r="C985" s="342"/>
      <c r="D985" s="359">
        <f t="shared" ca="1" si="443"/>
        <v>-0.82489882121169089</v>
      </c>
      <c r="E985" s="360">
        <f t="shared" ca="1" si="444"/>
        <v>-3.7978065527939879</v>
      </c>
      <c r="F985" s="357">
        <f t="shared" ca="1" si="445"/>
        <v>3.8863598234956824</v>
      </c>
      <c r="G985" s="359">
        <f t="shared" ca="1" si="446"/>
        <v>18.691395837768066</v>
      </c>
      <c r="H985" s="360">
        <f t="shared" ca="1" si="447"/>
        <v>-136.2313703341656</v>
      </c>
      <c r="I985" s="357">
        <f t="shared" ca="1" si="448"/>
        <v>137.50765266518337</v>
      </c>
      <c r="J985" s="359">
        <f t="shared" ca="1" si="449"/>
        <v>1009.0500868209435</v>
      </c>
      <c r="K985" s="360">
        <f t="shared" ca="1" si="450"/>
        <v>-14.568724296396057</v>
      </c>
      <c r="L985" s="357">
        <f t="shared" ca="1" si="435"/>
        <v>1009.155253388188</v>
      </c>
      <c r="M985" s="359">
        <f t="shared" ca="1" si="451"/>
        <v>-1.4344443542427228</v>
      </c>
      <c r="N985" s="357">
        <f t="shared" ca="1" si="452"/>
        <v>-82.187607444476797</v>
      </c>
      <c r="O985" s="343"/>
      <c r="P985" s="363">
        <f t="shared" ca="1" si="453"/>
        <v>23</v>
      </c>
      <c r="Q985" s="357">
        <f t="shared" ca="1" si="454"/>
        <v>0</v>
      </c>
      <c r="R985" s="359">
        <f t="shared" ca="1" si="455"/>
        <v>0</v>
      </c>
      <c r="S985" s="360">
        <f t="shared" ca="1" si="456"/>
        <v>8.6519999999999992</v>
      </c>
      <c r="T985" s="357">
        <f t="shared" ca="1" si="436"/>
        <v>84.87612</v>
      </c>
      <c r="U985" s="364">
        <f t="shared" ca="1" si="437"/>
        <v>0</v>
      </c>
      <c r="V985" s="359">
        <f t="shared" ca="1" si="438"/>
        <v>1.2267859696913106</v>
      </c>
      <c r="W985" s="357">
        <f t="shared" ca="1" si="439"/>
        <v>52.505180436189647</v>
      </c>
      <c r="X985" s="343"/>
      <c r="Y985" s="367" t="str">
        <f t="shared" ca="1" si="457"/>
        <v/>
      </c>
      <c r="Z985" s="368" t="str">
        <f t="shared" ca="1" si="458"/>
        <v/>
      </c>
      <c r="AA985" s="369" t="str">
        <f t="shared" ca="1" si="459"/>
        <v/>
      </c>
      <c r="AB985" s="344"/>
      <c r="AC985" s="363" t="e">
        <f t="shared" ca="1" si="460"/>
        <v>#N/A</v>
      </c>
      <c r="AD985" s="376" t="e">
        <f t="shared" ca="1" si="461"/>
        <v>#N/A</v>
      </c>
      <c r="AE985" s="377" t="e">
        <f t="shared" ca="1" si="440"/>
        <v>#N/A</v>
      </c>
      <c r="AF985" s="344"/>
      <c r="AG985" s="359">
        <f t="shared" ca="1" si="462"/>
        <v>3.650427398124771</v>
      </c>
      <c r="AH985" s="357">
        <f t="shared" ca="1" si="463"/>
        <v>-6.0685194332607484</v>
      </c>
    </row>
    <row r="986" spans="1:34" x14ac:dyDescent="0.25">
      <c r="A986" s="402">
        <f t="shared" ca="1" si="441"/>
        <v>1E-4</v>
      </c>
      <c r="B986" s="357">
        <f t="shared" ca="1" si="442"/>
        <v>35.626600000001076</v>
      </c>
      <c r="C986" s="342"/>
      <c r="D986" s="359">
        <f t="shared" ca="1" si="443"/>
        <v>-0.82489849437079732</v>
      </c>
      <c r="E986" s="360">
        <f t="shared" ca="1" si="444"/>
        <v>-3.7977656409344638</v>
      </c>
      <c r="F986" s="357">
        <f t="shared" ca="1" si="445"/>
        <v>3.8863197744752771</v>
      </c>
      <c r="G986" s="359">
        <f t="shared" ca="1" si="446"/>
        <v>18.69131334791863</v>
      </c>
      <c r="H986" s="360">
        <f t="shared" ca="1" si="447"/>
        <v>-136.23175011072971</v>
      </c>
      <c r="I986" s="357">
        <f t="shared" ca="1" si="448"/>
        <v>137.50801770406838</v>
      </c>
      <c r="J986" s="359">
        <f t="shared" ca="1" si="449"/>
        <v>1009.0500868209435</v>
      </c>
      <c r="K986" s="360">
        <f t="shared" ca="1" si="450"/>
        <v>-14.582347452418302</v>
      </c>
      <c r="L986" s="357">
        <f t="shared" ca="1" si="435"/>
        <v>1009.1554501515496</v>
      </c>
      <c r="M986" s="359">
        <f t="shared" ca="1" si="451"/>
        <v>-1.4344453239839343</v>
      </c>
      <c r="N986" s="357">
        <f t="shared" ca="1" si="452"/>
        <v>-82.187663006555439</v>
      </c>
      <c r="O986" s="343"/>
      <c r="P986" s="363">
        <f t="shared" ca="1" si="453"/>
        <v>23</v>
      </c>
      <c r="Q986" s="357">
        <f t="shared" ca="1" si="454"/>
        <v>0</v>
      </c>
      <c r="R986" s="359">
        <f t="shared" ca="1" si="455"/>
        <v>0</v>
      </c>
      <c r="S986" s="360">
        <f t="shared" ca="1" si="456"/>
        <v>8.6519999999999992</v>
      </c>
      <c r="T986" s="357">
        <f t="shared" ca="1" si="436"/>
        <v>84.87612</v>
      </c>
      <c r="U986" s="364">
        <f t="shared" ca="1" si="437"/>
        <v>0</v>
      </c>
      <c r="V986" s="359">
        <f t="shared" ca="1" si="438"/>
        <v>1.2267876409630034</v>
      </c>
      <c r="W986" s="357">
        <f t="shared" ca="1" si="439"/>
        <v>52.505530734610623</v>
      </c>
      <c r="X986" s="343"/>
      <c r="Y986" s="367" t="str">
        <f t="shared" ca="1" si="457"/>
        <v/>
      </c>
      <c r="Z986" s="368" t="str">
        <f t="shared" ca="1" si="458"/>
        <v/>
      </c>
      <c r="AA986" s="369" t="str">
        <f t="shared" ca="1" si="459"/>
        <v/>
      </c>
      <c r="AB986" s="344"/>
      <c r="AC986" s="363" t="e">
        <f t="shared" ca="1" si="460"/>
        <v>#N/A</v>
      </c>
      <c r="AD986" s="376" t="e">
        <f t="shared" ca="1" si="461"/>
        <v>#N/A</v>
      </c>
      <c r="AE986" s="377" t="e">
        <f t="shared" ca="1" si="440"/>
        <v>#N/A</v>
      </c>
      <c r="AF986" s="344"/>
      <c r="AG986" s="359">
        <f t="shared" ca="1" si="462"/>
        <v>3.6503882035602766</v>
      </c>
      <c r="AH986" s="357">
        <f t="shared" ca="1" si="463"/>
        <v>-6.0685599209650549</v>
      </c>
    </row>
    <row r="987" spans="1:34" x14ac:dyDescent="0.25">
      <c r="A987" s="402">
        <f t="shared" ca="1" si="441"/>
        <v>1E-4</v>
      </c>
      <c r="B987" s="357">
        <f t="shared" ca="1" si="442"/>
        <v>35.62670000000108</v>
      </c>
      <c r="C987" s="342"/>
      <c r="D987" s="359">
        <f t="shared" ca="1" si="443"/>
        <v>-0.82489816748921652</v>
      </c>
      <c r="E987" s="360">
        <f t="shared" ca="1" si="444"/>
        <v>-3.7977247292147274</v>
      </c>
      <c r="F987" s="357">
        <f t="shared" ca="1" si="445"/>
        <v>3.8862797256008403</v>
      </c>
      <c r="G987" s="359">
        <f t="shared" ca="1" si="446"/>
        <v>18.691230858101882</v>
      </c>
      <c r="H987" s="360">
        <f t="shared" ca="1" si="447"/>
        <v>-136.23212988320262</v>
      </c>
      <c r="I987" s="357">
        <f t="shared" ca="1" si="448"/>
        <v>137.50838273903395</v>
      </c>
      <c r="J987" s="359">
        <f t="shared" ca="1" si="449"/>
        <v>1009.0500868209435</v>
      </c>
      <c r="K987" s="360">
        <f t="shared" ca="1" si="450"/>
        <v>-14.595970646417999</v>
      </c>
      <c r="L987" s="357">
        <f t="shared" ca="1" si="435"/>
        <v>1009.1556470993287</v>
      </c>
      <c r="M987" s="359">
        <f t="shared" ca="1" si="451"/>
        <v>-1.4344462937157174</v>
      </c>
      <c r="N987" s="357">
        <f t="shared" ca="1" si="452"/>
        <v>-82.187718568093871</v>
      </c>
      <c r="O987" s="343"/>
      <c r="P987" s="363">
        <f t="shared" ca="1" si="453"/>
        <v>23</v>
      </c>
      <c r="Q987" s="357">
        <f t="shared" ca="1" si="454"/>
        <v>0</v>
      </c>
      <c r="R987" s="359">
        <f t="shared" ca="1" si="455"/>
        <v>0</v>
      </c>
      <c r="S987" s="360">
        <f t="shared" ca="1" si="456"/>
        <v>8.6519999999999992</v>
      </c>
      <c r="T987" s="357">
        <f t="shared" ca="1" si="436"/>
        <v>84.87612</v>
      </c>
      <c r="U987" s="364">
        <f t="shared" ca="1" si="437"/>
        <v>0</v>
      </c>
      <c r="V987" s="359">
        <f t="shared" ca="1" si="438"/>
        <v>1.226789312241634</v>
      </c>
      <c r="W987" s="357">
        <f t="shared" ca="1" si="439"/>
        <v>52.505881031834939</v>
      </c>
      <c r="X987" s="343"/>
      <c r="Y987" s="367" t="str">
        <f t="shared" ca="1" si="457"/>
        <v/>
      </c>
      <c r="Z987" s="368" t="str">
        <f t="shared" ca="1" si="458"/>
        <v/>
      </c>
      <c r="AA987" s="369" t="str">
        <f t="shared" ca="1" si="459"/>
        <v/>
      </c>
      <c r="AB987" s="344"/>
      <c r="AC987" s="363" t="e">
        <f t="shared" ca="1" si="460"/>
        <v>#N/A</v>
      </c>
      <c r="AD987" s="376" t="e">
        <f t="shared" ca="1" si="461"/>
        <v>#N/A</v>
      </c>
      <c r="AE987" s="377" t="e">
        <f t="shared" ca="1" si="440"/>
        <v>#N/A</v>
      </c>
      <c r="AF987" s="344"/>
      <c r="AG987" s="359">
        <f t="shared" ca="1" si="462"/>
        <v>3.6503490091123867</v>
      </c>
      <c r="AH987" s="357">
        <f t="shared" ca="1" si="463"/>
        <v>-6.0686004085310481</v>
      </c>
    </row>
    <row r="988" spans="1:34" x14ac:dyDescent="0.25">
      <c r="A988" s="402">
        <f t="shared" ca="1" si="441"/>
        <v>1E-4</v>
      </c>
      <c r="B988" s="357">
        <f t="shared" ca="1" si="442"/>
        <v>35.626800000001083</v>
      </c>
      <c r="C988" s="342"/>
      <c r="D988" s="359">
        <f t="shared" ca="1" si="443"/>
        <v>-0.82489784056695059</v>
      </c>
      <c r="E988" s="360">
        <f t="shared" ca="1" si="444"/>
        <v>-3.7976838176347734</v>
      </c>
      <c r="F988" s="357">
        <f t="shared" ca="1" si="445"/>
        <v>3.8862396768723677</v>
      </c>
      <c r="G988" s="359">
        <f t="shared" ca="1" si="446"/>
        <v>18.691148368317826</v>
      </c>
      <c r="H988" s="360">
        <f t="shared" ca="1" si="447"/>
        <v>-136.23250965158439</v>
      </c>
      <c r="I988" s="357">
        <f t="shared" ca="1" si="448"/>
        <v>137.50874777008008</v>
      </c>
      <c r="J988" s="359">
        <f t="shared" ca="1" si="449"/>
        <v>1009.0500868209435</v>
      </c>
      <c r="K988" s="360">
        <f t="shared" ca="1" si="450"/>
        <v>-14.609593878394739</v>
      </c>
      <c r="L988" s="357">
        <f t="shared" ca="1" si="435"/>
        <v>1009.1558442315267</v>
      </c>
      <c r="M988" s="359">
        <f t="shared" ca="1" si="451"/>
        <v>-1.4344472634380723</v>
      </c>
      <c r="N988" s="357">
        <f t="shared" ca="1" si="452"/>
        <v>-82.187774129092105</v>
      </c>
      <c r="O988" s="343"/>
      <c r="P988" s="363">
        <f t="shared" ca="1" si="453"/>
        <v>23</v>
      </c>
      <c r="Q988" s="357">
        <f t="shared" ca="1" si="454"/>
        <v>0</v>
      </c>
      <c r="R988" s="359">
        <f t="shared" ca="1" si="455"/>
        <v>0</v>
      </c>
      <c r="S988" s="360">
        <f t="shared" ca="1" si="456"/>
        <v>8.6519999999999992</v>
      </c>
      <c r="T988" s="357">
        <f t="shared" ca="1" si="436"/>
        <v>84.87612</v>
      </c>
      <c r="U988" s="364">
        <f t="shared" ca="1" si="437"/>
        <v>0</v>
      </c>
      <c r="V988" s="359">
        <f t="shared" ca="1" si="438"/>
        <v>1.2267909835272022</v>
      </c>
      <c r="W988" s="357">
        <f t="shared" ca="1" si="439"/>
        <v>52.506231327862558</v>
      </c>
      <c r="X988" s="343"/>
      <c r="Y988" s="367" t="str">
        <f t="shared" ca="1" si="457"/>
        <v/>
      </c>
      <c r="Z988" s="368" t="str">
        <f t="shared" ca="1" si="458"/>
        <v/>
      </c>
      <c r="AA988" s="369" t="str">
        <f t="shared" ca="1" si="459"/>
        <v/>
      </c>
      <c r="AB988" s="344"/>
      <c r="AC988" s="363" t="e">
        <f t="shared" ca="1" si="460"/>
        <v>#N/A</v>
      </c>
      <c r="AD988" s="376" t="e">
        <f t="shared" ca="1" si="461"/>
        <v>#N/A</v>
      </c>
      <c r="AE988" s="377" t="e">
        <f t="shared" ca="1" si="440"/>
        <v>#N/A</v>
      </c>
      <c r="AF988" s="344"/>
      <c r="AG988" s="359">
        <f t="shared" ca="1" si="462"/>
        <v>3.6503098147810924</v>
      </c>
      <c r="AH988" s="357">
        <f t="shared" ca="1" si="463"/>
        <v>-6.0686408959587315</v>
      </c>
    </row>
    <row r="989" spans="1:34" x14ac:dyDescent="0.25">
      <c r="A989" s="402">
        <f t="shared" ca="1" si="441"/>
        <v>1E-4</v>
      </c>
      <c r="B989" s="357">
        <f t="shared" ca="1" si="442"/>
        <v>35.626900000001086</v>
      </c>
      <c r="C989" s="342"/>
      <c r="D989" s="359">
        <f t="shared" ca="1" si="443"/>
        <v>-0.8248975136039991</v>
      </c>
      <c r="E989" s="360">
        <f t="shared" ca="1" si="444"/>
        <v>-3.7976429061946089</v>
      </c>
      <c r="F989" s="357">
        <f t="shared" ca="1" si="445"/>
        <v>3.8861996282898663</v>
      </c>
      <c r="G989" s="359">
        <f t="shared" ca="1" si="446"/>
        <v>18.691065878566466</v>
      </c>
      <c r="H989" s="360">
        <f t="shared" ca="1" si="447"/>
        <v>-136.23288941587501</v>
      </c>
      <c r="I989" s="357">
        <f t="shared" ca="1" si="448"/>
        <v>137.5091127972068</v>
      </c>
      <c r="J989" s="359">
        <f t="shared" ca="1" si="449"/>
        <v>1009.0500868209435</v>
      </c>
      <c r="K989" s="360">
        <f t="shared" ca="1" si="450"/>
        <v>-14.623217148348111</v>
      </c>
      <c r="L989" s="357">
        <f t="shared" ca="1" si="435"/>
        <v>1009.156041548145</v>
      </c>
      <c r="M989" s="359">
        <f t="shared" ca="1" si="451"/>
        <v>-1.4344482331509991</v>
      </c>
      <c r="N989" s="357">
        <f t="shared" ca="1" si="452"/>
        <v>-82.187829689550156</v>
      </c>
      <c r="O989" s="343"/>
      <c r="P989" s="363">
        <f t="shared" ca="1" si="453"/>
        <v>23</v>
      </c>
      <c r="Q989" s="357">
        <f t="shared" ca="1" si="454"/>
        <v>0</v>
      </c>
      <c r="R989" s="359">
        <f t="shared" ca="1" si="455"/>
        <v>0</v>
      </c>
      <c r="S989" s="360">
        <f t="shared" ca="1" si="456"/>
        <v>8.6519999999999992</v>
      </c>
      <c r="T989" s="357">
        <f t="shared" ca="1" si="436"/>
        <v>84.87612</v>
      </c>
      <c r="U989" s="364">
        <f t="shared" ca="1" si="437"/>
        <v>0</v>
      </c>
      <c r="V989" s="359">
        <f t="shared" ca="1" si="438"/>
        <v>1.2267926548197079</v>
      </c>
      <c r="W989" s="357">
        <f t="shared" ca="1" si="439"/>
        <v>52.506581622693481</v>
      </c>
      <c r="X989" s="343"/>
      <c r="Y989" s="367" t="str">
        <f t="shared" ca="1" si="457"/>
        <v/>
      </c>
      <c r="Z989" s="368" t="str">
        <f t="shared" ca="1" si="458"/>
        <v/>
      </c>
      <c r="AA989" s="369" t="str">
        <f t="shared" ca="1" si="459"/>
        <v/>
      </c>
      <c r="AB989" s="344"/>
      <c r="AC989" s="363" t="e">
        <f t="shared" ca="1" si="460"/>
        <v>#N/A</v>
      </c>
      <c r="AD989" s="376" t="e">
        <f t="shared" ca="1" si="461"/>
        <v>#N/A</v>
      </c>
      <c r="AE989" s="377" t="e">
        <f t="shared" ca="1" si="440"/>
        <v>#N/A</v>
      </c>
      <c r="AF989" s="344"/>
      <c r="AG989" s="359">
        <f t="shared" ca="1" si="462"/>
        <v>3.6502706205664017</v>
      </c>
      <c r="AH989" s="357">
        <f t="shared" ca="1" si="463"/>
        <v>-6.0686813832481006</v>
      </c>
    </row>
    <row r="990" spans="1:34" x14ac:dyDescent="0.25">
      <c r="A990" s="402">
        <f t="shared" ca="1" si="441"/>
        <v>1E-4</v>
      </c>
      <c r="B990" s="357">
        <f t="shared" ca="1" si="442"/>
        <v>35.62700000000109</v>
      </c>
      <c r="C990" s="342"/>
      <c r="D990" s="359">
        <f t="shared" ca="1" si="443"/>
        <v>-0.82489718660036215</v>
      </c>
      <c r="E990" s="360">
        <f t="shared" ca="1" si="444"/>
        <v>-3.7976019948942321</v>
      </c>
      <c r="F990" s="357">
        <f t="shared" ca="1" si="445"/>
        <v>3.8861595798533344</v>
      </c>
      <c r="G990" s="359">
        <f t="shared" ca="1" si="446"/>
        <v>18.690983388847805</v>
      </c>
      <c r="H990" s="360">
        <f t="shared" ca="1" si="447"/>
        <v>-136.23326917607449</v>
      </c>
      <c r="I990" s="357">
        <f t="shared" ca="1" si="448"/>
        <v>137.50947782041408</v>
      </c>
      <c r="J990" s="359">
        <f t="shared" ca="1" si="449"/>
        <v>1009.0500868209435</v>
      </c>
      <c r="K990" s="360">
        <f t="shared" ca="1" si="450"/>
        <v>-14.636840456277708</v>
      </c>
      <c r="L990" s="357">
        <f t="shared" ca="1" si="435"/>
        <v>1009.1562390491852</v>
      </c>
      <c r="M990" s="359">
        <f t="shared" ca="1" si="451"/>
        <v>-1.4344492028544982</v>
      </c>
      <c r="N990" s="357">
        <f t="shared" ca="1" si="452"/>
        <v>-82.187885249468025</v>
      </c>
      <c r="O990" s="343"/>
      <c r="P990" s="363">
        <f t="shared" ca="1" si="453"/>
        <v>23</v>
      </c>
      <c r="Q990" s="357">
        <f t="shared" ca="1" si="454"/>
        <v>0</v>
      </c>
      <c r="R990" s="359">
        <f t="shared" ca="1" si="455"/>
        <v>0</v>
      </c>
      <c r="S990" s="360">
        <f t="shared" ca="1" si="456"/>
        <v>8.6519999999999992</v>
      </c>
      <c r="T990" s="357">
        <f t="shared" ca="1" si="436"/>
        <v>84.87612</v>
      </c>
      <c r="U990" s="364">
        <f t="shared" ca="1" si="437"/>
        <v>0</v>
      </c>
      <c r="V990" s="359">
        <f t="shared" ca="1" si="438"/>
        <v>1.2267943261191507</v>
      </c>
      <c r="W990" s="357">
        <f t="shared" ca="1" si="439"/>
        <v>52.506931916327638</v>
      </c>
      <c r="X990" s="343"/>
      <c r="Y990" s="367" t="str">
        <f t="shared" ca="1" si="457"/>
        <v/>
      </c>
      <c r="Z990" s="368" t="str">
        <f t="shared" ca="1" si="458"/>
        <v/>
      </c>
      <c r="AA990" s="369" t="str">
        <f t="shared" ca="1" si="459"/>
        <v/>
      </c>
      <c r="AB990" s="344"/>
      <c r="AC990" s="363" t="e">
        <f t="shared" ca="1" si="460"/>
        <v>#N/A</v>
      </c>
      <c r="AD990" s="376" t="e">
        <f t="shared" ca="1" si="461"/>
        <v>#N/A</v>
      </c>
      <c r="AE990" s="377" t="e">
        <f t="shared" ca="1" si="440"/>
        <v>#N/A</v>
      </c>
      <c r="AF990" s="344"/>
      <c r="AG990" s="359">
        <f t="shared" ca="1" si="462"/>
        <v>3.6502314264683156</v>
      </c>
      <c r="AH990" s="357">
        <f t="shared" ca="1" si="463"/>
        <v>-6.0687218703991546</v>
      </c>
    </row>
    <row r="991" spans="1:34" x14ac:dyDescent="0.25">
      <c r="A991" s="402">
        <f t="shared" ca="1" si="441"/>
        <v>1E-4</v>
      </c>
      <c r="B991" s="357">
        <f t="shared" ca="1" si="442"/>
        <v>35.627100000001093</v>
      </c>
      <c r="C991" s="342"/>
      <c r="D991" s="359">
        <f t="shared" ca="1" si="443"/>
        <v>-0.82489685955603897</v>
      </c>
      <c r="E991" s="360">
        <f t="shared" ca="1" si="444"/>
        <v>-3.7975610837336529</v>
      </c>
      <c r="F991" s="357">
        <f t="shared" ca="1" si="445"/>
        <v>3.8861195315627817</v>
      </c>
      <c r="G991" s="359">
        <f t="shared" ca="1" si="446"/>
        <v>18.69090089916185</v>
      </c>
      <c r="H991" s="360">
        <f t="shared" ca="1" si="447"/>
        <v>-136.23364893218286</v>
      </c>
      <c r="I991" s="357">
        <f t="shared" ca="1" si="448"/>
        <v>137.50984283970197</v>
      </c>
      <c r="J991" s="359">
        <f t="shared" ca="1" si="449"/>
        <v>1009.0500868209435</v>
      </c>
      <c r="K991" s="360">
        <f t="shared" ca="1" si="450"/>
        <v>-14.650463802183122</v>
      </c>
      <c r="L991" s="357">
        <f t="shared" ca="1" si="435"/>
        <v>1009.1564367346485</v>
      </c>
      <c r="M991" s="359">
        <f t="shared" ca="1" si="451"/>
        <v>-1.4344501725485692</v>
      </c>
      <c r="N991" s="357">
        <f t="shared" ca="1" si="452"/>
        <v>-82.18794080884571</v>
      </c>
      <c r="O991" s="343"/>
      <c r="P991" s="363">
        <f t="shared" ca="1" si="453"/>
        <v>23</v>
      </c>
      <c r="Q991" s="357">
        <f t="shared" ca="1" si="454"/>
        <v>0</v>
      </c>
      <c r="R991" s="359">
        <f t="shared" ca="1" si="455"/>
        <v>0</v>
      </c>
      <c r="S991" s="360">
        <f t="shared" ca="1" si="456"/>
        <v>8.6519999999999992</v>
      </c>
      <c r="T991" s="357">
        <f t="shared" ca="1" si="436"/>
        <v>84.87612</v>
      </c>
      <c r="U991" s="364">
        <f t="shared" ca="1" si="437"/>
        <v>0</v>
      </c>
      <c r="V991" s="359">
        <f t="shared" ca="1" si="438"/>
        <v>1.2267959974255311</v>
      </c>
      <c r="W991" s="357">
        <f t="shared" ca="1" si="439"/>
        <v>52.507282208765048</v>
      </c>
      <c r="X991" s="343"/>
      <c r="Y991" s="367" t="str">
        <f t="shared" ca="1" si="457"/>
        <v/>
      </c>
      <c r="Z991" s="368" t="str">
        <f t="shared" ca="1" si="458"/>
        <v/>
      </c>
      <c r="AA991" s="369" t="str">
        <f t="shared" ca="1" si="459"/>
        <v/>
      </c>
      <c r="AB991" s="344"/>
      <c r="AC991" s="363" t="e">
        <f t="shared" ca="1" si="460"/>
        <v>#N/A</v>
      </c>
      <c r="AD991" s="376" t="e">
        <f t="shared" ca="1" si="461"/>
        <v>#N/A</v>
      </c>
      <c r="AE991" s="377" t="e">
        <f t="shared" ca="1" si="440"/>
        <v>#N/A</v>
      </c>
      <c r="AF991" s="344"/>
      <c r="AG991" s="359">
        <f t="shared" ca="1" si="462"/>
        <v>3.6501922324868428</v>
      </c>
      <c r="AH991" s="357">
        <f t="shared" ca="1" si="463"/>
        <v>-6.0687623574118863</v>
      </c>
    </row>
    <row r="992" spans="1:34" x14ac:dyDescent="0.25">
      <c r="A992" s="402">
        <f t="shared" ca="1" si="441"/>
        <v>1E-4</v>
      </c>
      <c r="B992" s="357">
        <f t="shared" ca="1" si="442"/>
        <v>35.627200000001096</v>
      </c>
      <c r="C992" s="342"/>
      <c r="D992" s="359">
        <f t="shared" ca="1" si="443"/>
        <v>-0.8248965324710329</v>
      </c>
      <c r="E992" s="360">
        <f t="shared" ca="1" si="444"/>
        <v>-3.7975201727128658</v>
      </c>
      <c r="F992" s="357">
        <f t="shared" ca="1" si="445"/>
        <v>3.8860794834182029</v>
      </c>
      <c r="G992" s="359">
        <f t="shared" ca="1" si="446"/>
        <v>18.690818409508601</v>
      </c>
      <c r="H992" s="360">
        <f t="shared" ca="1" si="447"/>
        <v>-136.23402868420013</v>
      </c>
      <c r="I992" s="357">
        <f t="shared" ca="1" si="448"/>
        <v>137.51020785507049</v>
      </c>
      <c r="J992" s="359">
        <f t="shared" ca="1" si="449"/>
        <v>1009.0500868209435</v>
      </c>
      <c r="K992" s="360">
        <f t="shared" ca="1" si="450"/>
        <v>-14.664087186063941</v>
      </c>
      <c r="L992" s="357">
        <f t="shared" ca="1" si="435"/>
        <v>1009.1566346045365</v>
      </c>
      <c r="M992" s="359">
        <f t="shared" ca="1" si="451"/>
        <v>-1.4344511422332129</v>
      </c>
      <c r="N992" s="357">
        <f t="shared" ca="1" si="452"/>
        <v>-82.187996367683255</v>
      </c>
      <c r="O992" s="343"/>
      <c r="P992" s="363">
        <f t="shared" ca="1" si="453"/>
        <v>23</v>
      </c>
      <c r="Q992" s="357">
        <f t="shared" ca="1" si="454"/>
        <v>0</v>
      </c>
      <c r="R992" s="359">
        <f t="shared" ca="1" si="455"/>
        <v>0</v>
      </c>
      <c r="S992" s="360">
        <f t="shared" ca="1" si="456"/>
        <v>8.6519999999999992</v>
      </c>
      <c r="T992" s="357">
        <f t="shared" ca="1" si="436"/>
        <v>84.87612</v>
      </c>
      <c r="U992" s="364">
        <f t="shared" ca="1" si="437"/>
        <v>0</v>
      </c>
      <c r="V992" s="359">
        <f t="shared" ca="1" si="438"/>
        <v>1.2267976687388489</v>
      </c>
      <c r="W992" s="357">
        <f t="shared" ca="1" si="439"/>
        <v>52.507632500005691</v>
      </c>
      <c r="X992" s="343"/>
      <c r="Y992" s="367" t="str">
        <f t="shared" ca="1" si="457"/>
        <v/>
      </c>
      <c r="Z992" s="368" t="str">
        <f t="shared" ca="1" si="458"/>
        <v/>
      </c>
      <c r="AA992" s="369" t="str">
        <f t="shared" ca="1" si="459"/>
        <v/>
      </c>
      <c r="AB992" s="344"/>
      <c r="AC992" s="363" t="e">
        <f t="shared" ca="1" si="460"/>
        <v>#N/A</v>
      </c>
      <c r="AD992" s="376" t="e">
        <f t="shared" ca="1" si="461"/>
        <v>#N/A</v>
      </c>
      <c r="AE992" s="377" t="e">
        <f t="shared" ca="1" si="440"/>
        <v>#N/A</v>
      </c>
      <c r="AF992" s="344"/>
      <c r="AG992" s="359">
        <f t="shared" ca="1" si="462"/>
        <v>3.6501530386219772</v>
      </c>
      <c r="AH992" s="357">
        <f t="shared" ca="1" si="463"/>
        <v>-6.0688028442862985</v>
      </c>
    </row>
    <row r="993" spans="1:34" x14ac:dyDescent="0.25">
      <c r="A993" s="402">
        <f t="shared" ca="1" si="441"/>
        <v>1E-4</v>
      </c>
      <c r="B993" s="357">
        <f t="shared" ca="1" si="442"/>
        <v>35.6273000000011</v>
      </c>
      <c r="C993" s="342"/>
      <c r="D993" s="359">
        <f t="shared" ca="1" si="443"/>
        <v>-0.82489620534534103</v>
      </c>
      <c r="E993" s="360">
        <f t="shared" ca="1" si="444"/>
        <v>-3.7974792618318762</v>
      </c>
      <c r="F993" s="357">
        <f t="shared" ca="1" si="445"/>
        <v>3.8860394354196042</v>
      </c>
      <c r="G993" s="359">
        <f t="shared" ca="1" si="446"/>
        <v>18.690735919888066</v>
      </c>
      <c r="H993" s="360">
        <f t="shared" ca="1" si="447"/>
        <v>-136.23440843212632</v>
      </c>
      <c r="I993" s="357">
        <f t="shared" ca="1" si="448"/>
        <v>137.51057286651962</v>
      </c>
      <c r="J993" s="359">
        <f t="shared" ca="1" si="449"/>
        <v>1009.0500868209435</v>
      </c>
      <c r="K993" s="360">
        <f t="shared" ca="1" si="450"/>
        <v>-14.677710607919758</v>
      </c>
      <c r="L993" s="357">
        <f t="shared" ca="1" si="435"/>
        <v>1009.1568326588507</v>
      </c>
      <c r="M993" s="359">
        <f t="shared" ca="1" si="451"/>
        <v>-1.434452111908429</v>
      </c>
      <c r="N993" s="357">
        <f t="shared" ca="1" si="452"/>
        <v>-82.188051925980645</v>
      </c>
      <c r="O993" s="343"/>
      <c r="P993" s="363">
        <f t="shared" ca="1" si="453"/>
        <v>23</v>
      </c>
      <c r="Q993" s="357">
        <f t="shared" ca="1" si="454"/>
        <v>0</v>
      </c>
      <c r="R993" s="359">
        <f t="shared" ca="1" si="455"/>
        <v>0</v>
      </c>
      <c r="S993" s="360">
        <f t="shared" ca="1" si="456"/>
        <v>8.6519999999999992</v>
      </c>
      <c r="T993" s="357">
        <f t="shared" ca="1" si="436"/>
        <v>84.87612</v>
      </c>
      <c r="U993" s="364">
        <f t="shared" ca="1" si="437"/>
        <v>0</v>
      </c>
      <c r="V993" s="359">
        <f t="shared" ca="1" si="438"/>
        <v>1.226799340059104</v>
      </c>
      <c r="W993" s="357">
        <f t="shared" ca="1" si="439"/>
        <v>52.507982790049525</v>
      </c>
      <c r="X993" s="343"/>
      <c r="Y993" s="367" t="str">
        <f t="shared" ca="1" si="457"/>
        <v/>
      </c>
      <c r="Z993" s="368" t="str">
        <f t="shared" ca="1" si="458"/>
        <v/>
      </c>
      <c r="AA993" s="369" t="str">
        <f t="shared" ca="1" si="459"/>
        <v/>
      </c>
      <c r="AB993" s="344"/>
      <c r="AC993" s="363" t="e">
        <f t="shared" ca="1" si="460"/>
        <v>#N/A</v>
      </c>
      <c r="AD993" s="376" t="e">
        <f t="shared" ca="1" si="461"/>
        <v>#N/A</v>
      </c>
      <c r="AE993" s="377" t="e">
        <f t="shared" ca="1" si="440"/>
        <v>#N/A</v>
      </c>
      <c r="AF993" s="344"/>
      <c r="AG993" s="359">
        <f t="shared" ca="1" si="462"/>
        <v>3.650113844873724</v>
      </c>
      <c r="AH993" s="357">
        <f t="shared" ca="1" si="463"/>
        <v>-6.0688433310223875</v>
      </c>
    </row>
    <row r="994" spans="1:34" x14ac:dyDescent="0.25">
      <c r="A994" s="402">
        <f t="shared" ca="1" si="441"/>
        <v>1E-4</v>
      </c>
      <c r="B994" s="357">
        <f t="shared" ca="1" si="442"/>
        <v>35.627400000001103</v>
      </c>
      <c r="C994" s="342"/>
      <c r="D994" s="359">
        <f t="shared" ca="1" si="443"/>
        <v>-0.82489587817896548</v>
      </c>
      <c r="E994" s="360">
        <f t="shared" ca="1" si="444"/>
        <v>-3.7974383510906886</v>
      </c>
      <c r="F994" s="357">
        <f t="shared" ca="1" si="445"/>
        <v>3.8859993875669891</v>
      </c>
      <c r="G994" s="359">
        <f t="shared" ca="1" si="446"/>
        <v>18.690653430300248</v>
      </c>
      <c r="H994" s="360">
        <f t="shared" ca="1" si="447"/>
        <v>-136.23478817596143</v>
      </c>
      <c r="I994" s="357">
        <f t="shared" ca="1" si="448"/>
        <v>137.5109378740494</v>
      </c>
      <c r="J994" s="359">
        <f t="shared" ca="1" si="449"/>
        <v>1009.0500868209435</v>
      </c>
      <c r="K994" s="360">
        <f t="shared" ca="1" si="450"/>
        <v>-14.691334067750162</v>
      </c>
      <c r="L994" s="357">
        <f t="shared" ca="1" si="435"/>
        <v>1009.1570308975922</v>
      </c>
      <c r="M994" s="359">
        <f t="shared" ca="1" si="451"/>
        <v>-1.4344530815742178</v>
      </c>
      <c r="N994" s="357">
        <f t="shared" ca="1" si="452"/>
        <v>-82.18810748373788</v>
      </c>
      <c r="O994" s="343"/>
      <c r="P994" s="363">
        <f t="shared" ca="1" si="453"/>
        <v>23</v>
      </c>
      <c r="Q994" s="357">
        <f t="shared" ca="1" si="454"/>
        <v>0</v>
      </c>
      <c r="R994" s="359">
        <f t="shared" ca="1" si="455"/>
        <v>0</v>
      </c>
      <c r="S994" s="360">
        <f t="shared" ca="1" si="456"/>
        <v>8.6519999999999992</v>
      </c>
      <c r="T994" s="357">
        <f t="shared" ca="1" si="436"/>
        <v>84.87612</v>
      </c>
      <c r="U994" s="364">
        <f t="shared" ca="1" si="437"/>
        <v>0</v>
      </c>
      <c r="V994" s="359">
        <f t="shared" ca="1" si="438"/>
        <v>1.2268010113862962</v>
      </c>
      <c r="W994" s="357">
        <f t="shared" ca="1" si="439"/>
        <v>52.508333078896548</v>
      </c>
      <c r="X994" s="343"/>
      <c r="Y994" s="367" t="str">
        <f t="shared" ca="1" si="457"/>
        <v/>
      </c>
      <c r="Z994" s="368" t="str">
        <f t="shared" ca="1" si="458"/>
        <v/>
      </c>
      <c r="AA994" s="369" t="str">
        <f t="shared" ca="1" si="459"/>
        <v/>
      </c>
      <c r="AB994" s="344"/>
      <c r="AC994" s="363" t="e">
        <f t="shared" ca="1" si="460"/>
        <v>#N/A</v>
      </c>
      <c r="AD994" s="376" t="e">
        <f t="shared" ca="1" si="461"/>
        <v>#N/A</v>
      </c>
      <c r="AE994" s="377" t="e">
        <f t="shared" ca="1" si="440"/>
        <v>#N/A</v>
      </c>
      <c r="AF994" s="344"/>
      <c r="AG994" s="359">
        <f t="shared" ca="1" si="462"/>
        <v>3.6500746512420932</v>
      </c>
      <c r="AH994" s="357">
        <f t="shared" ca="1" si="463"/>
        <v>-6.0688838176201489</v>
      </c>
    </row>
    <row r="995" spans="1:34" x14ac:dyDescent="0.25">
      <c r="A995" s="402">
        <f t="shared" ca="1" si="441"/>
        <v>1E-4</v>
      </c>
      <c r="B995" s="357">
        <f t="shared" ca="1" si="442"/>
        <v>35.627500000001106</v>
      </c>
      <c r="C995" s="342"/>
      <c r="D995" s="359">
        <f t="shared" ca="1" si="443"/>
        <v>-0.82489555097190648</v>
      </c>
      <c r="E995" s="360">
        <f t="shared" ca="1" si="444"/>
        <v>-3.7973974404893021</v>
      </c>
      <c r="F995" s="357">
        <f t="shared" ca="1" si="445"/>
        <v>3.8859593398603578</v>
      </c>
      <c r="G995" s="359">
        <f t="shared" ca="1" si="446"/>
        <v>18.69057094074515</v>
      </c>
      <c r="H995" s="360">
        <f t="shared" ca="1" si="447"/>
        <v>-136.23516791570549</v>
      </c>
      <c r="I995" s="357">
        <f t="shared" ca="1" si="448"/>
        <v>137.51130287765983</v>
      </c>
      <c r="J995" s="359">
        <f t="shared" ca="1" si="449"/>
        <v>1009.0500868209435</v>
      </c>
      <c r="K995" s="360">
        <f t="shared" ca="1" si="450"/>
        <v>-14.704957565554746</v>
      </c>
      <c r="L995" s="357">
        <f t="shared" ca="1" si="435"/>
        <v>1009.1572293207627</v>
      </c>
      <c r="M995" s="359">
        <f t="shared" ca="1" si="451"/>
        <v>-1.4344540512305795</v>
      </c>
      <c r="N995" s="357">
        <f t="shared" ca="1" si="452"/>
        <v>-82.188163040954976</v>
      </c>
      <c r="O995" s="343"/>
      <c r="P995" s="363">
        <f t="shared" ca="1" si="453"/>
        <v>23</v>
      </c>
      <c r="Q995" s="357">
        <f t="shared" ca="1" si="454"/>
        <v>0</v>
      </c>
      <c r="R995" s="359">
        <f t="shared" ca="1" si="455"/>
        <v>0</v>
      </c>
      <c r="S995" s="360">
        <f t="shared" ca="1" si="456"/>
        <v>8.6519999999999992</v>
      </c>
      <c r="T995" s="357">
        <f t="shared" ca="1" si="436"/>
        <v>84.87612</v>
      </c>
      <c r="U995" s="364">
        <f t="shared" ca="1" si="437"/>
        <v>0</v>
      </c>
      <c r="V995" s="359">
        <f t="shared" ca="1" si="438"/>
        <v>1.2268026827204259</v>
      </c>
      <c r="W995" s="357">
        <f t="shared" ca="1" si="439"/>
        <v>52.508683366546741</v>
      </c>
      <c r="X995" s="343"/>
      <c r="Y995" s="367" t="str">
        <f t="shared" ca="1" si="457"/>
        <v/>
      </c>
      <c r="Z995" s="368" t="str">
        <f t="shared" ca="1" si="458"/>
        <v/>
      </c>
      <c r="AA995" s="369" t="str">
        <f t="shared" ca="1" si="459"/>
        <v/>
      </c>
      <c r="AB995" s="344"/>
      <c r="AC995" s="363" t="e">
        <f t="shared" ca="1" si="460"/>
        <v>#N/A</v>
      </c>
      <c r="AD995" s="376" t="e">
        <f t="shared" ca="1" si="461"/>
        <v>#N/A</v>
      </c>
      <c r="AE995" s="377" t="e">
        <f t="shared" ca="1" si="440"/>
        <v>#N/A</v>
      </c>
      <c r="AF995" s="344"/>
      <c r="AG995" s="359">
        <f t="shared" ca="1" si="462"/>
        <v>3.6500354577270775</v>
      </c>
      <c r="AH995" s="357">
        <f t="shared" ca="1" si="463"/>
        <v>-6.0689243040795828</v>
      </c>
    </row>
    <row r="996" spans="1:34" x14ac:dyDescent="0.25">
      <c r="A996" s="402">
        <f t="shared" ca="1" si="441"/>
        <v>1E-4</v>
      </c>
      <c r="B996" s="357">
        <f t="shared" ca="1" si="442"/>
        <v>35.627600000001109</v>
      </c>
      <c r="C996" s="342"/>
      <c r="D996" s="359">
        <f t="shared" ca="1" si="443"/>
        <v>-0.82489522372416413</v>
      </c>
      <c r="E996" s="360">
        <f t="shared" ca="1" si="444"/>
        <v>-3.7973565300277183</v>
      </c>
      <c r="F996" s="357">
        <f t="shared" ca="1" si="445"/>
        <v>3.8859192922997119</v>
      </c>
      <c r="G996" s="359">
        <f t="shared" ca="1" si="446"/>
        <v>18.690488451222777</v>
      </c>
      <c r="H996" s="360">
        <f t="shared" ca="1" si="447"/>
        <v>-136.2355476513585</v>
      </c>
      <c r="I996" s="357">
        <f t="shared" ca="1" si="448"/>
        <v>137.51166787735093</v>
      </c>
      <c r="J996" s="359">
        <f t="shared" ca="1" si="449"/>
        <v>1009.0500868209435</v>
      </c>
      <c r="K996" s="360">
        <f t="shared" ca="1" si="450"/>
        <v>-14.7185811013331</v>
      </c>
      <c r="L996" s="357">
        <f t="shared" ca="1" si="435"/>
        <v>1009.1574279283635</v>
      </c>
      <c r="M996" s="359">
        <f t="shared" ca="1" si="451"/>
        <v>-1.434455020877514</v>
      </c>
      <c r="N996" s="357">
        <f t="shared" ca="1" si="452"/>
        <v>-82.188218597631945</v>
      </c>
      <c r="O996" s="343"/>
      <c r="P996" s="363">
        <f t="shared" ca="1" si="453"/>
        <v>23</v>
      </c>
      <c r="Q996" s="357">
        <f t="shared" ca="1" si="454"/>
        <v>0</v>
      </c>
      <c r="R996" s="359">
        <f t="shared" ca="1" si="455"/>
        <v>0</v>
      </c>
      <c r="S996" s="360">
        <f t="shared" ca="1" si="456"/>
        <v>8.6519999999999992</v>
      </c>
      <c r="T996" s="357">
        <f t="shared" ca="1" si="436"/>
        <v>84.87612</v>
      </c>
      <c r="U996" s="364">
        <f t="shared" ca="1" si="437"/>
        <v>0</v>
      </c>
      <c r="V996" s="359">
        <f t="shared" ca="1" si="438"/>
        <v>1.2268043540614928</v>
      </c>
      <c r="W996" s="357">
        <f t="shared" ca="1" si="439"/>
        <v>52.509033653000074</v>
      </c>
      <c r="X996" s="343"/>
      <c r="Y996" s="367" t="str">
        <f t="shared" ca="1" si="457"/>
        <v/>
      </c>
      <c r="Z996" s="368" t="str">
        <f t="shared" ca="1" si="458"/>
        <v/>
      </c>
      <c r="AA996" s="369" t="str">
        <f t="shared" ca="1" si="459"/>
        <v/>
      </c>
      <c r="AB996" s="344"/>
      <c r="AC996" s="363" t="e">
        <f t="shared" ca="1" si="460"/>
        <v>#N/A</v>
      </c>
      <c r="AD996" s="376" t="e">
        <f t="shared" ca="1" si="461"/>
        <v>#N/A</v>
      </c>
      <c r="AE996" s="377" t="e">
        <f t="shared" ca="1" si="440"/>
        <v>#N/A</v>
      </c>
      <c r="AF996" s="344"/>
      <c r="AG996" s="359">
        <f t="shared" ca="1" si="462"/>
        <v>3.6499962643286858</v>
      </c>
      <c r="AH996" s="357">
        <f t="shared" ca="1" si="463"/>
        <v>-6.0689647904006874</v>
      </c>
    </row>
    <row r="997" spans="1:34" x14ac:dyDescent="0.25">
      <c r="A997" s="402">
        <f t="shared" ca="1" si="441"/>
        <v>1E-4</v>
      </c>
      <c r="B997" s="357">
        <f t="shared" ca="1" si="442"/>
        <v>35.627700000001113</v>
      </c>
      <c r="C997" s="342"/>
      <c r="D997" s="359">
        <f t="shared" ca="1" si="443"/>
        <v>-0.82489489643573921</v>
      </c>
      <c r="E997" s="360">
        <f t="shared" ca="1" si="444"/>
        <v>-3.7973156197059437</v>
      </c>
      <c r="F997" s="357">
        <f t="shared" ca="1" si="445"/>
        <v>3.8858792448850576</v>
      </c>
      <c r="G997" s="359">
        <f t="shared" ca="1" si="446"/>
        <v>18.690405961733134</v>
      </c>
      <c r="H997" s="360">
        <f t="shared" ca="1" si="447"/>
        <v>-136.23592738292047</v>
      </c>
      <c r="I997" s="357">
        <f t="shared" ca="1" si="448"/>
        <v>137.51203287312265</v>
      </c>
      <c r="J997" s="359">
        <f t="shared" ca="1" si="449"/>
        <v>1009.0500868209435</v>
      </c>
      <c r="K997" s="360">
        <f t="shared" ca="1" si="450"/>
        <v>-14.732204675084814</v>
      </c>
      <c r="L997" s="357">
        <f t="shared" ca="1" si="435"/>
        <v>1009.157626720396</v>
      </c>
      <c r="M997" s="359">
        <f t="shared" ca="1" si="451"/>
        <v>-1.4344559905150216</v>
      </c>
      <c r="N997" s="357">
        <f t="shared" ca="1" si="452"/>
        <v>-82.188274153768788</v>
      </c>
      <c r="O997" s="343"/>
      <c r="P997" s="363">
        <f t="shared" ca="1" si="453"/>
        <v>23</v>
      </c>
      <c r="Q997" s="357">
        <f t="shared" ca="1" si="454"/>
        <v>0</v>
      </c>
      <c r="R997" s="359">
        <f t="shared" ca="1" si="455"/>
        <v>0</v>
      </c>
      <c r="S997" s="360">
        <f t="shared" ca="1" si="456"/>
        <v>8.6519999999999992</v>
      </c>
      <c r="T997" s="357">
        <f t="shared" ca="1" si="436"/>
        <v>84.87612</v>
      </c>
      <c r="U997" s="364">
        <f t="shared" ca="1" si="437"/>
        <v>0</v>
      </c>
      <c r="V997" s="359">
        <f t="shared" ca="1" si="438"/>
        <v>1.226806025409497</v>
      </c>
      <c r="W997" s="357">
        <f t="shared" ca="1" si="439"/>
        <v>52.509383938256498</v>
      </c>
      <c r="X997" s="343"/>
      <c r="Y997" s="367" t="str">
        <f t="shared" ca="1" si="457"/>
        <v/>
      </c>
      <c r="Z997" s="368" t="str">
        <f t="shared" ca="1" si="458"/>
        <v/>
      </c>
      <c r="AA997" s="369" t="str">
        <f t="shared" ca="1" si="459"/>
        <v/>
      </c>
      <c r="AB997" s="344"/>
      <c r="AC997" s="363" t="e">
        <f t="shared" ca="1" si="460"/>
        <v>#N/A</v>
      </c>
      <c r="AD997" s="376" t="e">
        <f t="shared" ca="1" si="461"/>
        <v>#N/A</v>
      </c>
      <c r="AE997" s="377" t="e">
        <f t="shared" ca="1" si="440"/>
        <v>#N/A</v>
      </c>
      <c r="AF997" s="344"/>
      <c r="AG997" s="359">
        <f t="shared" ca="1" si="462"/>
        <v>3.6499570710469174</v>
      </c>
      <c r="AH997" s="357">
        <f t="shared" ca="1" si="463"/>
        <v>-6.0690052765834581</v>
      </c>
    </row>
    <row r="998" spans="1:34" x14ac:dyDescent="0.25">
      <c r="A998" s="402">
        <f t="shared" ca="1" si="441"/>
        <v>1E-4</v>
      </c>
      <c r="B998" s="357">
        <f t="shared" ca="1" si="442"/>
        <v>35.627800000001116</v>
      </c>
      <c r="C998" s="342"/>
      <c r="D998" s="359">
        <f t="shared" ca="1" si="443"/>
        <v>-0.82489456910663128</v>
      </c>
      <c r="E998" s="360">
        <f t="shared" ca="1" si="444"/>
        <v>-3.7972747095239816</v>
      </c>
      <c r="F998" s="357">
        <f t="shared" ca="1" si="445"/>
        <v>3.8858391976163982</v>
      </c>
      <c r="G998" s="359">
        <f t="shared" ca="1" si="446"/>
        <v>18.690323472276223</v>
      </c>
      <c r="H998" s="360">
        <f t="shared" ca="1" si="447"/>
        <v>-136.23630711039141</v>
      </c>
      <c r="I998" s="357">
        <f t="shared" ca="1" si="448"/>
        <v>137.51239786497507</v>
      </c>
      <c r="J998" s="359">
        <f t="shared" ca="1" si="449"/>
        <v>1009.0500868209435</v>
      </c>
      <c r="K998" s="360">
        <f t="shared" ca="1" si="450"/>
        <v>-14.745828286809481</v>
      </c>
      <c r="L998" s="357">
        <f t="shared" ca="1" si="435"/>
        <v>1009.1578256968619</v>
      </c>
      <c r="M998" s="359">
        <f t="shared" ca="1" si="451"/>
        <v>-1.4344569601431023</v>
      </c>
      <c r="N998" s="357">
        <f t="shared" ca="1" si="452"/>
        <v>-82.188329709365505</v>
      </c>
      <c r="O998" s="343"/>
      <c r="P998" s="363">
        <f t="shared" ca="1" si="453"/>
        <v>23</v>
      </c>
      <c r="Q998" s="357">
        <f t="shared" ca="1" si="454"/>
        <v>0</v>
      </c>
      <c r="R998" s="359">
        <f t="shared" ca="1" si="455"/>
        <v>0</v>
      </c>
      <c r="S998" s="360">
        <f t="shared" ca="1" si="456"/>
        <v>8.6519999999999992</v>
      </c>
      <c r="T998" s="357">
        <f t="shared" ca="1" si="436"/>
        <v>84.87612</v>
      </c>
      <c r="U998" s="364">
        <f t="shared" ca="1" si="437"/>
        <v>0</v>
      </c>
      <c r="V998" s="359">
        <f t="shared" ca="1" si="438"/>
        <v>1.2268076967644383</v>
      </c>
      <c r="W998" s="357">
        <f t="shared" ca="1" si="439"/>
        <v>52.509734222316034</v>
      </c>
      <c r="X998" s="343"/>
      <c r="Y998" s="367" t="str">
        <f t="shared" ca="1" si="457"/>
        <v/>
      </c>
      <c r="Z998" s="368" t="str">
        <f t="shared" ca="1" si="458"/>
        <v/>
      </c>
      <c r="AA998" s="369" t="str">
        <f t="shared" ca="1" si="459"/>
        <v/>
      </c>
      <c r="AB998" s="344"/>
      <c r="AC998" s="363" t="e">
        <f t="shared" ca="1" si="460"/>
        <v>#N/A</v>
      </c>
      <c r="AD998" s="376" t="e">
        <f t="shared" ca="1" si="461"/>
        <v>#N/A</v>
      </c>
      <c r="AE998" s="377" t="e">
        <f t="shared" ca="1" si="440"/>
        <v>#N/A</v>
      </c>
      <c r="AF998" s="344"/>
      <c r="AG998" s="359">
        <f t="shared" ca="1" si="462"/>
        <v>3.6499178778817809</v>
      </c>
      <c r="AH998" s="357">
        <f t="shared" ca="1" si="463"/>
        <v>-6.0690457626278898</v>
      </c>
    </row>
    <row r="999" spans="1:34" x14ac:dyDescent="0.25">
      <c r="A999" s="402">
        <f t="shared" ca="1" si="441"/>
        <v>1E-4</v>
      </c>
      <c r="B999" s="357">
        <f t="shared" ca="1" si="442"/>
        <v>35.627900000001119</v>
      </c>
      <c r="C999" s="342"/>
      <c r="D999" s="359">
        <f t="shared" ca="1" si="443"/>
        <v>-0.82489424173684223</v>
      </c>
      <c r="E999" s="360">
        <f t="shared" ca="1" si="444"/>
        <v>-3.7972337994818295</v>
      </c>
      <c r="F999" s="357">
        <f t="shared" ca="1" si="445"/>
        <v>3.8857991504937321</v>
      </c>
      <c r="G999" s="359">
        <f t="shared" ca="1" si="446"/>
        <v>18.69024098285205</v>
      </c>
      <c r="H999" s="360">
        <f t="shared" ca="1" si="447"/>
        <v>-136.23668683377136</v>
      </c>
      <c r="I999" s="357">
        <f t="shared" ca="1" si="448"/>
        <v>137.51276285290822</v>
      </c>
      <c r="J999" s="359">
        <f t="shared" ca="1" si="449"/>
        <v>1009.0500868209435</v>
      </c>
      <c r="K999" s="360">
        <f t="shared" ca="1" si="450"/>
        <v>-14.759451936506689</v>
      </c>
      <c r="L999" s="357">
        <f t="shared" ca="1" si="435"/>
        <v>1009.1580248577621</v>
      </c>
      <c r="M999" s="359">
        <f t="shared" ca="1" si="451"/>
        <v>-1.4344579297617566</v>
      </c>
      <c r="N999" s="357">
        <f t="shared" ca="1" si="452"/>
        <v>-82.188385264422138</v>
      </c>
      <c r="O999" s="343"/>
      <c r="P999" s="363">
        <f t="shared" ca="1" si="453"/>
        <v>23</v>
      </c>
      <c r="Q999" s="357">
        <f t="shared" ca="1" si="454"/>
        <v>0</v>
      </c>
      <c r="R999" s="359">
        <f t="shared" ca="1" si="455"/>
        <v>0</v>
      </c>
      <c r="S999" s="360">
        <f t="shared" ca="1" si="456"/>
        <v>8.6519999999999992</v>
      </c>
      <c r="T999" s="357">
        <f t="shared" ca="1" si="436"/>
        <v>84.87612</v>
      </c>
      <c r="U999" s="364">
        <f t="shared" ca="1" si="437"/>
        <v>0</v>
      </c>
      <c r="V999" s="359">
        <f t="shared" ca="1" si="438"/>
        <v>1.2268093681263172</v>
      </c>
      <c r="W999" s="357">
        <f t="shared" ca="1" si="439"/>
        <v>52.510084505178696</v>
      </c>
      <c r="X999" s="343"/>
      <c r="Y999" s="367" t="str">
        <f t="shared" ca="1" si="457"/>
        <v/>
      </c>
      <c r="Z999" s="368" t="str">
        <f t="shared" ca="1" si="458"/>
        <v/>
      </c>
      <c r="AA999" s="369" t="str">
        <f t="shared" ca="1" si="459"/>
        <v/>
      </c>
      <c r="AB999" s="344"/>
      <c r="AC999" s="363" t="e">
        <f t="shared" ca="1" si="460"/>
        <v>#N/A</v>
      </c>
      <c r="AD999" s="376" t="e">
        <f t="shared" ca="1" si="461"/>
        <v>#N/A</v>
      </c>
      <c r="AE999" s="377" t="e">
        <f t="shared" ca="1" si="440"/>
        <v>#N/A</v>
      </c>
      <c r="AF999" s="344"/>
      <c r="AG999" s="359">
        <f t="shared" ca="1" si="462"/>
        <v>3.6498786848332774</v>
      </c>
      <c r="AH999" s="357">
        <f t="shared" ca="1" si="463"/>
        <v>-6.0690862485339849</v>
      </c>
    </row>
    <row r="1000" spans="1:34" x14ac:dyDescent="0.25">
      <c r="A1000" s="402">
        <f t="shared" ca="1" si="441"/>
        <v>1E-4</v>
      </c>
      <c r="B1000" s="357">
        <f t="shared" ca="1" si="442"/>
        <v>35.628000000001123</v>
      </c>
      <c r="C1000" s="342"/>
      <c r="D1000" s="359">
        <f t="shared" ca="1" si="443"/>
        <v>-0.82489391432637138</v>
      </c>
      <c r="E1000" s="360">
        <f t="shared" ca="1" si="444"/>
        <v>-3.7971928895794864</v>
      </c>
      <c r="F1000" s="357">
        <f t="shared" ca="1" si="445"/>
        <v>3.8857591035170582</v>
      </c>
      <c r="G1000" s="359">
        <f t="shared" ca="1" si="446"/>
        <v>18.690158493460618</v>
      </c>
      <c r="H1000" s="360">
        <f t="shared" ca="1" si="447"/>
        <v>-136.23706655306032</v>
      </c>
      <c r="I1000" s="357">
        <f t="shared" ca="1" si="448"/>
        <v>137.51312783692205</v>
      </c>
      <c r="J1000" s="359">
        <f t="shared" ca="1" si="449"/>
        <v>1009.0500868209435</v>
      </c>
      <c r="K1000" s="360">
        <f t="shared" ca="1" si="450"/>
        <v>-14.77307562417603</v>
      </c>
      <c r="L1000" s="357">
        <f t="shared" ca="1" si="435"/>
        <v>1009.1582242030986</v>
      </c>
      <c r="M1000" s="359">
        <f t="shared" ca="1" si="451"/>
        <v>-1.4344588993709844</v>
      </c>
      <c r="N1000" s="357">
        <f t="shared" ca="1" si="452"/>
        <v>-82.188440818938659</v>
      </c>
      <c r="O1000" s="343"/>
      <c r="P1000" s="363">
        <f t="shared" ca="1" si="453"/>
        <v>23</v>
      </c>
      <c r="Q1000" s="357">
        <f t="shared" ca="1" si="454"/>
        <v>0</v>
      </c>
      <c r="R1000" s="359">
        <f t="shared" ca="1" si="455"/>
        <v>0</v>
      </c>
      <c r="S1000" s="360">
        <f t="shared" ca="1" si="456"/>
        <v>8.6519999999999992</v>
      </c>
      <c r="T1000" s="357">
        <f t="shared" ca="1" si="436"/>
        <v>84.87612</v>
      </c>
      <c r="U1000" s="364">
        <f t="shared" ca="1" si="437"/>
        <v>0</v>
      </c>
      <c r="V1000" s="359">
        <f t="shared" ca="1" si="438"/>
        <v>1.2268110394951328</v>
      </c>
      <c r="W1000" s="357">
        <f t="shared" ca="1" si="439"/>
        <v>52.510434786844364</v>
      </c>
      <c r="X1000" s="343"/>
      <c r="Y1000" s="367" t="str">
        <f t="shared" ca="1" si="457"/>
        <v/>
      </c>
      <c r="Z1000" s="368" t="str">
        <f t="shared" ca="1" si="458"/>
        <v/>
      </c>
      <c r="AA1000" s="369" t="str">
        <f t="shared" ca="1" si="459"/>
        <v/>
      </c>
      <c r="AB1000" s="344"/>
      <c r="AC1000" s="363" t="e">
        <f t="shared" ca="1" si="460"/>
        <v>#N/A</v>
      </c>
      <c r="AD1000" s="376" t="e">
        <f t="shared" ca="1" si="461"/>
        <v>#N/A</v>
      </c>
      <c r="AE1000" s="377" t="e">
        <f t="shared" ca="1" si="440"/>
        <v>#N/A</v>
      </c>
      <c r="AF1000" s="344"/>
      <c r="AG1000" s="359">
        <f t="shared" ca="1" si="462"/>
        <v>3.6498394919013997</v>
      </c>
      <c r="AH1000" s="357">
        <f t="shared" ca="1" si="463"/>
        <v>-6.0691267343017454</v>
      </c>
    </row>
    <row r="1001" spans="1:34" x14ac:dyDescent="0.25">
      <c r="A1001" s="402">
        <f t="shared" ca="1" si="441"/>
        <v>1E-4</v>
      </c>
      <c r="B1001" s="357">
        <f t="shared" ca="1" si="442"/>
        <v>35.628100000001126</v>
      </c>
      <c r="C1001" s="342"/>
      <c r="D1001" s="359">
        <f t="shared" ca="1" si="443"/>
        <v>-0.82489358687521819</v>
      </c>
      <c r="E1001" s="360">
        <f t="shared" ca="1" si="444"/>
        <v>-3.7971519798169666</v>
      </c>
      <c r="F1001" s="357">
        <f t="shared" ca="1" si="445"/>
        <v>3.8857190566863906</v>
      </c>
      <c r="G1001" s="359">
        <f t="shared" ca="1" si="446"/>
        <v>18.690076004101932</v>
      </c>
      <c r="H1001" s="360">
        <f t="shared" ca="1" si="447"/>
        <v>-136.23744626825831</v>
      </c>
      <c r="I1001" s="357">
        <f t="shared" ca="1" si="448"/>
        <v>137.51349281701661</v>
      </c>
      <c r="J1001" s="359">
        <f t="shared" ca="1" si="449"/>
        <v>1009.0500868209435</v>
      </c>
      <c r="K1001" s="360">
        <f t="shared" ca="1" si="450"/>
        <v>-14.786699349817097</v>
      </c>
      <c r="L1001" s="357">
        <f t="shared" ca="1" si="435"/>
        <v>1009.1584237328724</v>
      </c>
      <c r="M1001" s="359">
        <f t="shared" ca="1" si="451"/>
        <v>-1.4344598689707857</v>
      </c>
      <c r="N1001" s="357">
        <f t="shared" ca="1" si="452"/>
        <v>-82.188496372915097</v>
      </c>
      <c r="O1001" s="343"/>
      <c r="P1001" s="363">
        <f t="shared" ca="1" si="453"/>
        <v>23</v>
      </c>
      <c r="Q1001" s="357">
        <f t="shared" ca="1" si="454"/>
        <v>0</v>
      </c>
      <c r="R1001" s="359">
        <f t="shared" ca="1" si="455"/>
        <v>0</v>
      </c>
      <c r="S1001" s="360">
        <f t="shared" ca="1" si="456"/>
        <v>8.6519999999999992</v>
      </c>
      <c r="T1001" s="357">
        <f t="shared" ca="1" si="436"/>
        <v>84.87612</v>
      </c>
      <c r="U1001" s="364">
        <f t="shared" ca="1" si="437"/>
        <v>0</v>
      </c>
      <c r="V1001" s="359">
        <f t="shared" ca="1" si="438"/>
        <v>1.2268127108708855</v>
      </c>
      <c r="W1001" s="357">
        <f t="shared" ca="1" si="439"/>
        <v>52.510785067313094</v>
      </c>
      <c r="X1001" s="343"/>
      <c r="Y1001" s="367" t="str">
        <f t="shared" ca="1" si="457"/>
        <v/>
      </c>
      <c r="Z1001" s="368" t="str">
        <f t="shared" ca="1" si="458"/>
        <v/>
      </c>
      <c r="AA1001" s="369" t="str">
        <f t="shared" ca="1" si="459"/>
        <v/>
      </c>
      <c r="AB1001" s="344"/>
      <c r="AC1001" s="363" t="e">
        <f t="shared" ca="1" si="460"/>
        <v>#N/A</v>
      </c>
      <c r="AD1001" s="376" t="e">
        <f t="shared" ca="1" si="461"/>
        <v>#N/A</v>
      </c>
      <c r="AE1001" s="377" t="e">
        <f t="shared" ca="1" si="440"/>
        <v>#N/A</v>
      </c>
      <c r="AF1001" s="344"/>
      <c r="AG1001" s="359">
        <f t="shared" ca="1" si="462"/>
        <v>3.6498002990861638</v>
      </c>
      <c r="AH1001" s="357">
        <f t="shared" ca="1" si="463"/>
        <v>-6.069167219931157</v>
      </c>
    </row>
    <row r="1002" spans="1:34" x14ac:dyDescent="0.25">
      <c r="A1002" s="402">
        <f t="shared" ca="1" si="441"/>
        <v>1E-4</v>
      </c>
      <c r="B1002" s="357">
        <f t="shared" ca="1" si="442"/>
        <v>35.628200000001129</v>
      </c>
      <c r="C1002" s="342"/>
      <c r="D1002" s="359">
        <f t="shared" ca="1" si="443"/>
        <v>-0.82489325938338487</v>
      </c>
      <c r="E1002" s="360">
        <f t="shared" ca="1" si="444"/>
        <v>-3.7971110701942639</v>
      </c>
      <c r="F1002" s="357">
        <f t="shared" ca="1" si="445"/>
        <v>3.8856790100017231</v>
      </c>
      <c r="G1002" s="359">
        <f t="shared" ca="1" si="446"/>
        <v>18.689993514775995</v>
      </c>
      <c r="H1002" s="360">
        <f t="shared" ca="1" si="447"/>
        <v>-136.23782597936534</v>
      </c>
      <c r="I1002" s="357">
        <f t="shared" ca="1" si="448"/>
        <v>137.5138577931919</v>
      </c>
      <c r="J1002" s="359">
        <f t="shared" ca="1" si="449"/>
        <v>1009.0500868209435</v>
      </c>
      <c r="K1002" s="360">
        <f t="shared" ca="1" si="450"/>
        <v>-14.800323113429478</v>
      </c>
      <c r="L1002" s="357">
        <f t="shared" ca="1" si="435"/>
        <v>1009.158623447085</v>
      </c>
      <c r="M1002" s="359">
        <f t="shared" ca="1" si="451"/>
        <v>-1.434460838561161</v>
      </c>
      <c r="N1002" s="357">
        <f t="shared" ca="1" si="452"/>
        <v>-82.188551926351465</v>
      </c>
      <c r="O1002" s="343"/>
      <c r="P1002" s="363">
        <f t="shared" ca="1" si="453"/>
        <v>23</v>
      </c>
      <c r="Q1002" s="357">
        <f t="shared" ca="1" si="454"/>
        <v>0</v>
      </c>
      <c r="R1002" s="359">
        <f t="shared" ca="1" si="455"/>
        <v>0</v>
      </c>
      <c r="S1002" s="360">
        <f t="shared" ca="1" si="456"/>
        <v>8.6519999999999992</v>
      </c>
      <c r="T1002" s="357">
        <f t="shared" ca="1" si="436"/>
        <v>84.87612</v>
      </c>
      <c r="U1002" s="364">
        <f t="shared" ca="1" si="437"/>
        <v>0</v>
      </c>
      <c r="V1002" s="359">
        <f t="shared" ca="1" si="438"/>
        <v>1.2268143822535753</v>
      </c>
      <c r="W1002" s="357">
        <f t="shared" ca="1" si="439"/>
        <v>52.511135346584837</v>
      </c>
      <c r="X1002" s="343"/>
      <c r="Y1002" s="367" t="str">
        <f t="shared" ca="1" si="457"/>
        <v/>
      </c>
      <c r="Z1002" s="368" t="str">
        <f t="shared" ca="1" si="458"/>
        <v/>
      </c>
      <c r="AA1002" s="369" t="str">
        <f t="shared" ca="1" si="459"/>
        <v/>
      </c>
      <c r="AB1002" s="344"/>
      <c r="AC1002" s="363" t="e">
        <f t="shared" ca="1" si="460"/>
        <v>#N/A</v>
      </c>
      <c r="AD1002" s="376" t="e">
        <f t="shared" ca="1" si="461"/>
        <v>#N/A</v>
      </c>
      <c r="AE1002" s="377" t="e">
        <f t="shared" ca="1" si="440"/>
        <v>#N/A</v>
      </c>
      <c r="AF1002" s="344"/>
      <c r="AG1002" s="359">
        <f t="shared" ca="1" si="462"/>
        <v>3.6497611063875652</v>
      </c>
      <c r="AH1002" s="357">
        <f t="shared" ca="1" si="463"/>
        <v>-6.069207705422226</v>
      </c>
    </row>
    <row r="1003" spans="1:34" x14ac:dyDescent="0.25">
      <c r="A1003" s="402">
        <f t="shared" ca="1" si="441"/>
        <v>1E-4</v>
      </c>
      <c r="B1003" s="357">
        <f t="shared" ca="1" si="442"/>
        <v>35.628300000001133</v>
      </c>
      <c r="C1003" s="342"/>
      <c r="D1003" s="359">
        <f t="shared" ca="1" si="443"/>
        <v>-0.82489293185086976</v>
      </c>
      <c r="E1003" s="360">
        <f t="shared" ca="1" si="444"/>
        <v>-3.7970701607113826</v>
      </c>
      <c r="F1003" s="357">
        <f t="shared" ca="1" si="445"/>
        <v>3.8856389634630606</v>
      </c>
      <c r="G1003" s="359">
        <f t="shared" ca="1" si="446"/>
        <v>18.689911025482811</v>
      </c>
      <c r="H1003" s="360">
        <f t="shared" ca="1" si="447"/>
        <v>-136.23820568638141</v>
      </c>
      <c r="I1003" s="357">
        <f t="shared" ca="1" si="448"/>
        <v>137.5142227654479</v>
      </c>
      <c r="J1003" s="359">
        <f t="shared" ca="1" si="449"/>
        <v>1009.0500868209435</v>
      </c>
      <c r="K1003" s="360">
        <f t="shared" ca="1" si="450"/>
        <v>-14.813946915012766</v>
      </c>
      <c r="L1003" s="357">
        <f t="shared" ca="1" si="435"/>
        <v>1009.158823345738</v>
      </c>
      <c r="M1003" s="359">
        <f t="shared" ca="1" si="451"/>
        <v>-1.4344618081421101</v>
      </c>
      <c r="N1003" s="357">
        <f t="shared" ca="1" si="452"/>
        <v>-82.188607479247736</v>
      </c>
      <c r="O1003" s="343"/>
      <c r="P1003" s="363">
        <f t="shared" ca="1" si="453"/>
        <v>23</v>
      </c>
      <c r="Q1003" s="357">
        <f t="shared" ca="1" si="454"/>
        <v>0</v>
      </c>
      <c r="R1003" s="359">
        <f t="shared" ca="1" si="455"/>
        <v>0</v>
      </c>
      <c r="S1003" s="360">
        <f t="shared" ca="1" si="456"/>
        <v>8.6519999999999992</v>
      </c>
      <c r="T1003" s="357">
        <f t="shared" ca="1" si="436"/>
        <v>84.87612</v>
      </c>
      <c r="U1003" s="364">
        <f t="shared" ca="1" si="437"/>
        <v>0</v>
      </c>
      <c r="V1003" s="359">
        <f ca="1">Rho_moyen*(20000-Alt_rampe-pos_z)/(20000+Alt_rampe+pos_z)</f>
        <v>1.2268160536432025</v>
      </c>
      <c r="W1003" s="357">
        <f t="shared" ca="1" si="439"/>
        <v>52.511485624659556</v>
      </c>
      <c r="X1003" s="343"/>
      <c r="Y1003" s="367" t="str">
        <f t="shared" ca="1" si="457"/>
        <v/>
      </c>
      <c r="Z1003" s="368" t="str">
        <f t="shared" ca="1" si="458"/>
        <v/>
      </c>
      <c r="AA1003" s="369" t="str">
        <f t="shared" ca="1" si="459"/>
        <v/>
      </c>
      <c r="AB1003" s="344"/>
      <c r="AC1003" s="363" t="e">
        <f t="shared" ca="1" si="460"/>
        <v>#N/A</v>
      </c>
      <c r="AD1003" s="376" t="e">
        <f t="shared" ca="1" si="461"/>
        <v>#N/A</v>
      </c>
      <c r="AE1003" s="377" t="e">
        <f t="shared" ca="1" si="440"/>
        <v>#N/A</v>
      </c>
      <c r="AF1003" s="344"/>
      <c r="AG1003" s="359">
        <f t="shared" ca="1" si="462"/>
        <v>3.6497219138056112</v>
      </c>
      <c r="AH1003" s="357">
        <f t="shared" ca="1" si="463"/>
        <v>-6.0692481907749469</v>
      </c>
    </row>
    <row r="1004" spans="1:34" x14ac:dyDescent="0.25">
      <c r="A1004" s="403">
        <f t="shared" ca="1" si="441"/>
        <v>1E-4</v>
      </c>
      <c r="B1004" s="358">
        <f t="shared" ca="1" si="442"/>
        <v>35.628400000001136</v>
      </c>
      <c r="C1004" s="342"/>
      <c r="D1004" s="361">
        <f t="shared" ca="1" si="443"/>
        <v>-0.82489260427767519</v>
      </c>
      <c r="E1004" s="362">
        <f t="shared" ca="1" si="444"/>
        <v>-3.7970292513683273</v>
      </c>
      <c r="F1004" s="358">
        <f t="shared" ca="1" si="445"/>
        <v>3.8855989170704075</v>
      </c>
      <c r="G1004" s="361">
        <f t="shared" ca="1" si="446"/>
        <v>18.689828536222382</v>
      </c>
      <c r="H1004" s="362">
        <f t="shared" ca="1" si="447"/>
        <v>-136.23858538930654</v>
      </c>
      <c r="I1004" s="358">
        <f t="shared" ca="1" si="448"/>
        <v>137.51458773378468</v>
      </c>
      <c r="J1004" s="361">
        <f t="shared" ca="1" si="449"/>
        <v>1009.0500868209435</v>
      </c>
      <c r="K1004" s="362">
        <f t="shared" ca="1" si="450"/>
        <v>-14.827570754566549</v>
      </c>
      <c r="L1004" s="358">
        <f t="shared" ca="1" si="435"/>
        <v>1009.1590234288327</v>
      </c>
      <c r="M1004" s="361">
        <f t="shared" ca="1" si="451"/>
        <v>-1.4344627777136334</v>
      </c>
      <c r="N1004" s="358">
        <f t="shared" ca="1" si="452"/>
        <v>-82.188663031603951</v>
      </c>
      <c r="O1004" s="343"/>
      <c r="P1004" s="365">
        <f t="shared" ca="1" si="453"/>
        <v>23</v>
      </c>
      <c r="Q1004" s="358">
        <f t="shared" ca="1" si="454"/>
        <v>0</v>
      </c>
      <c r="R1004" s="361">
        <f t="shared" ca="1" si="455"/>
        <v>0</v>
      </c>
      <c r="S1004" s="362">
        <f t="shared" ca="1" si="456"/>
        <v>8.6519999999999992</v>
      </c>
      <c r="T1004" s="358">
        <f t="shared" ca="1" si="436"/>
        <v>84.87612</v>
      </c>
      <c r="U1004" s="366">
        <f t="shared" ca="1" si="437"/>
        <v>0</v>
      </c>
      <c r="V1004" s="361">
        <f t="shared" ca="1" si="438"/>
        <v>1.2268177250397663</v>
      </c>
      <c r="W1004" s="358">
        <f ca="1">1/2*Rho*Sref*Cx*vit_xz^2</f>
        <v>52.511835901537268</v>
      </c>
      <c r="X1004" s="343"/>
      <c r="Y1004" s="370" t="str">
        <f ca="1">IF(AND(pos_z&lt;=0,K1003&gt;0),"Impact balistique","") &amp; IF(AND(H1005&lt;0,vit_z&gt;=0),"Apogée","") &amp; IF(AND(Poussee=0,Q1003&gt;0),"Fin de propulsion","") &amp; IF(AND(L1005&gt;L_rampe,pos_xz&lt;=L_rampe),"Sortie de rampe","")</f>
        <v/>
      </c>
      <c r="Z1004" s="371" t="str">
        <f t="shared" ca="1" si="458"/>
        <v/>
      </c>
      <c r="AA1004" s="372" t="str">
        <f t="shared" ca="1" si="459"/>
        <v/>
      </c>
      <c r="AB1004" s="344"/>
      <c r="AC1004" s="365" t="e">
        <f t="shared" ca="1" si="460"/>
        <v>#N/A</v>
      </c>
      <c r="AD1004" s="378" t="e">
        <f t="shared" ca="1" si="461"/>
        <v>#N/A</v>
      </c>
      <c r="AE1004" s="379" t="e">
        <f t="shared" ca="1" si="440"/>
        <v>#N/A</v>
      </c>
      <c r="AF1004" s="344"/>
      <c r="AG1004" s="361">
        <f t="shared" ca="1" si="462"/>
        <v>3.6496827213403034</v>
      </c>
      <c r="AH1004" s="358">
        <f t="shared" ca="1" si="463"/>
        <v>-6.0692886759893163</v>
      </c>
    </row>
    <row r="1005" spans="1:34" x14ac:dyDescent="0.25">
      <c r="Y1005" s="356"/>
    </row>
    <row r="1010" spans="12:12" x14ac:dyDescent="0.25">
      <c r="L1010"/>
    </row>
    <row r="1034" spans="5:25" x14ac:dyDescent="0.25">
      <c r="E1034" s="353" t="s">
        <v>255</v>
      </c>
      <c r="J1034" s="354" t="s">
        <v>247</v>
      </c>
      <c r="T1034" s="353" t="s">
        <v>246</v>
      </c>
      <c r="Y1034" s="355" t="s">
        <v>249</v>
      </c>
    </row>
    <row r="1035" spans="5:25" x14ac:dyDescent="0.25">
      <c r="E1035" s="352" t="s">
        <v>259</v>
      </c>
    </row>
    <row r="1036" spans="5:25" x14ac:dyDescent="0.25">
      <c r="E1036" s="352"/>
      <c r="T1036" s="352" t="s">
        <v>252</v>
      </c>
    </row>
    <row r="1037" spans="5:25" x14ac:dyDescent="0.25">
      <c r="E1037" s="352"/>
      <c r="T1037" s="352" t="s">
        <v>256</v>
      </c>
    </row>
    <row r="1038" spans="5:25" x14ac:dyDescent="0.25">
      <c r="E1038" s="352"/>
      <c r="T1038" s="352" t="s">
        <v>257</v>
      </c>
    </row>
    <row r="1039" spans="5:25" x14ac:dyDescent="0.25">
      <c r="E1039" s="352"/>
      <c r="T1039" s="352" t="s">
        <v>263</v>
      </c>
    </row>
    <row r="1040" spans="5:25" x14ac:dyDescent="0.25">
      <c r="E1040" s="352" t="s">
        <v>258</v>
      </c>
      <c r="T1040" s="352" t="s">
        <v>248</v>
      </c>
    </row>
    <row r="1041" spans="5:20" x14ac:dyDescent="0.25">
      <c r="E1041" s="352"/>
      <c r="T1041" s="352" t="s">
        <v>264</v>
      </c>
    </row>
    <row r="1042" spans="5:20" x14ac:dyDescent="0.25">
      <c r="E1042" s="352"/>
      <c r="R1042" s="356"/>
      <c r="T1042" s="352"/>
    </row>
    <row r="1043" spans="5:20" x14ac:dyDescent="0.25">
      <c r="E1043" s="352"/>
    </row>
    <row r="1044" spans="5:20" x14ac:dyDescent="0.25">
      <c r="E1044" s="352"/>
    </row>
    <row r="1045" spans="5:20" x14ac:dyDescent="0.25">
      <c r="E1045" s="352" t="s">
        <v>261</v>
      </c>
      <c r="R1045" s="356"/>
      <c r="T1045" s="352"/>
    </row>
    <row r="1046" spans="5:20" x14ac:dyDescent="0.25">
      <c r="E1046" s="352"/>
    </row>
    <row r="1047" spans="5:20" x14ac:dyDescent="0.25">
      <c r="E1047" s="352"/>
    </row>
    <row r="1048" spans="5:20" x14ac:dyDescent="0.25">
      <c r="E1048" s="352"/>
      <c r="T1048" s="351" t="s">
        <v>254</v>
      </c>
    </row>
    <row r="1049" spans="5:20" x14ac:dyDescent="0.25">
      <c r="E1049" s="352"/>
    </row>
    <row r="1050" spans="5:20" x14ac:dyDescent="0.25">
      <c r="E1050" s="352" t="s">
        <v>262</v>
      </c>
    </row>
    <row r="1053" spans="5:20" x14ac:dyDescent="0.25">
      <c r="T1053" s="351" t="s">
        <v>269</v>
      </c>
    </row>
    <row r="1055" spans="5:20" x14ac:dyDescent="0.25">
      <c r="E1055" s="352" t="s">
        <v>251</v>
      </c>
    </row>
    <row r="1058" spans="5:20" x14ac:dyDescent="0.25">
      <c r="T1058" s="352" t="s">
        <v>270</v>
      </c>
    </row>
    <row r="1060" spans="5:20" x14ac:dyDescent="0.25">
      <c r="E1060" s="352" t="s">
        <v>260</v>
      </c>
    </row>
    <row r="1061" spans="5:20" x14ac:dyDescent="0.25">
      <c r="E1061" s="352"/>
    </row>
    <row r="1062" spans="5:20" x14ac:dyDescent="0.25">
      <c r="E1062" s="352"/>
    </row>
    <row r="1063" spans="5:20" x14ac:dyDescent="0.25">
      <c r="E1063" s="352"/>
    </row>
    <row r="1064" spans="5:20" x14ac:dyDescent="0.25">
      <c r="E1064" s="352"/>
    </row>
    <row r="1065" spans="5:20" x14ac:dyDescent="0.25">
      <c r="E1065" s="352" t="s">
        <v>250</v>
      </c>
    </row>
    <row r="1066" spans="5:20" x14ac:dyDescent="0.25">
      <c r="E1066" s="352"/>
    </row>
    <row r="1067" spans="5:20" x14ac:dyDescent="0.25">
      <c r="E1067" s="352"/>
    </row>
    <row r="1068" spans="5:20" x14ac:dyDescent="0.25">
      <c r="E1068" s="352"/>
    </row>
    <row r="1069" spans="5:20" x14ac:dyDescent="0.25">
      <c r="E1069" s="352"/>
    </row>
    <row r="1070" spans="5:20" x14ac:dyDescent="0.25">
      <c r="E1070" s="352" t="s">
        <v>253</v>
      </c>
    </row>
    <row r="1071" spans="5:20" x14ac:dyDescent="0.25">
      <c r="E1071" s="352"/>
    </row>
    <row r="1072" spans="5:20" x14ac:dyDescent="0.25">
      <c r="E1072" s="352"/>
    </row>
    <row r="1073" spans="5:5" x14ac:dyDescent="0.25">
      <c r="E1073" s="352"/>
    </row>
    <row r="1074" spans="5:5" x14ac:dyDescent="0.25">
      <c r="E1074" s="352"/>
    </row>
    <row r="1075" spans="5:5" x14ac:dyDescent="0.25">
      <c r="E1075" s="352" t="s">
        <v>265</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15240</xdr:colOff>
                <xdr:row>1010</xdr:row>
                <xdr:rowOff>99060</xdr:rowOff>
              </from>
              <to>
                <xdr:col>20</xdr:col>
                <xdr:colOff>289560</xdr:colOff>
                <xdr:row>1013</xdr:row>
                <xdr:rowOff>22860</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22860</xdr:colOff>
                <xdr:row>1024</xdr:row>
                <xdr:rowOff>160020</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251460</xdr:colOff>
                <xdr:row>1006</xdr:row>
                <xdr:rowOff>22860</xdr:rowOff>
              </from>
              <to>
                <xdr:col>24</xdr:col>
                <xdr:colOff>152400</xdr:colOff>
                <xdr:row>1007</xdr:row>
                <xdr:rowOff>99060</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15240</xdr:colOff>
                <xdr:row>1017</xdr:row>
                <xdr:rowOff>167640</xdr:rowOff>
              </from>
              <to>
                <xdr:col>10</xdr:col>
                <xdr:colOff>586740</xdr:colOff>
                <xdr:row>1019</xdr:row>
                <xdr:rowOff>137160</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15240</xdr:colOff>
                <xdr:row>1014</xdr:row>
                <xdr:rowOff>175260</xdr:rowOff>
              </from>
              <to>
                <xdr:col>11</xdr:col>
                <xdr:colOff>266700</xdr:colOff>
                <xdr:row>1016</xdr:row>
                <xdr:rowOff>68580</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15240</xdr:colOff>
                <xdr:row>1016</xdr:row>
                <xdr:rowOff>76200</xdr:rowOff>
              </from>
              <to>
                <xdr:col>11</xdr:col>
                <xdr:colOff>236220</xdr:colOff>
                <xdr:row>1017</xdr:row>
                <xdr:rowOff>160020</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68580</xdr:rowOff>
              </from>
              <to>
                <xdr:col>17</xdr:col>
                <xdr:colOff>274320</xdr:colOff>
                <xdr:row>1024</xdr:row>
                <xdr:rowOff>167640</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236220</xdr:colOff>
                <xdr:row>1010</xdr:row>
                <xdr:rowOff>91440</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99060</xdr:rowOff>
              </from>
              <to>
                <xdr:col>12</xdr:col>
                <xdr:colOff>243840</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15240</xdr:colOff>
                <xdr:row>1006</xdr:row>
                <xdr:rowOff>99060</xdr:rowOff>
              </from>
              <to>
                <xdr:col>3</xdr:col>
                <xdr:colOff>541020</xdr:colOff>
                <xdr:row>1007</xdr:row>
                <xdr:rowOff>175260</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175260</xdr:rowOff>
              </from>
              <to>
                <xdr:col>16</xdr:col>
                <xdr:colOff>0</xdr:colOff>
                <xdr:row>1026</xdr:row>
                <xdr:rowOff>144780</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15240</xdr:colOff>
                <xdr:row>1013</xdr:row>
                <xdr:rowOff>30480</xdr:rowOff>
              </from>
              <to>
                <xdr:col>21</xdr:col>
                <xdr:colOff>22860</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15240</xdr:colOff>
                <xdr:row>1005</xdr:row>
                <xdr:rowOff>15240</xdr:rowOff>
              </from>
              <to>
                <xdr:col>10</xdr:col>
                <xdr:colOff>403860</xdr:colOff>
                <xdr:row>1006</xdr:row>
                <xdr:rowOff>91440</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15240</xdr:rowOff>
              </from>
              <to>
                <xdr:col>8</xdr:col>
                <xdr:colOff>190500</xdr:colOff>
                <xdr:row>1014</xdr:row>
                <xdr:rowOff>167640</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15240</xdr:colOff>
                <xdr:row>1018</xdr:row>
                <xdr:rowOff>53340</xdr:rowOff>
              </from>
              <to>
                <xdr:col>24</xdr:col>
                <xdr:colOff>1082040</xdr:colOff>
                <xdr:row>1019</xdr:row>
                <xdr:rowOff>137160</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144780</xdr:rowOff>
              </from>
              <to>
                <xdr:col>20</xdr:col>
                <xdr:colOff>579120</xdr:colOff>
                <xdr:row>1022</xdr:row>
                <xdr:rowOff>53340</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53340</xdr:rowOff>
              </from>
              <to>
                <xdr:col>19</xdr:col>
                <xdr:colOff>182880</xdr:colOff>
                <xdr:row>1019</xdr:row>
                <xdr:rowOff>137160</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15240</xdr:colOff>
                <xdr:row>1007</xdr:row>
                <xdr:rowOff>121920</xdr:rowOff>
              </from>
              <to>
                <xdr:col>37</xdr:col>
                <xdr:colOff>281940</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15240</xdr:colOff>
                <xdr:row>1010</xdr:row>
                <xdr:rowOff>91440</xdr:rowOff>
              </from>
              <to>
                <xdr:col>35</xdr:col>
                <xdr:colOff>723900</xdr:colOff>
                <xdr:row>1013</xdr:row>
                <xdr:rowOff>45720</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22860</xdr:rowOff>
              </from>
              <to>
                <xdr:col>11</xdr:col>
                <xdr:colOff>556260</xdr:colOff>
                <xdr:row>1038</xdr:row>
                <xdr:rowOff>22860</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22860</xdr:rowOff>
              </from>
              <to>
                <xdr:col>12</xdr:col>
                <xdr:colOff>30480</xdr:colOff>
                <xdr:row>1043</xdr:row>
                <xdr:rowOff>22860</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15240</xdr:colOff>
                <xdr:row>1014</xdr:row>
                <xdr:rowOff>121920</xdr:rowOff>
              </from>
              <to>
                <xdr:col>20</xdr:col>
                <xdr:colOff>335280</xdr:colOff>
                <xdr:row>1016</xdr:row>
                <xdr:rowOff>15240</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251460</xdr:colOff>
                <xdr:row>1007</xdr:row>
                <xdr:rowOff>114300</xdr:rowOff>
              </from>
              <to>
                <xdr:col>32</xdr:col>
                <xdr:colOff>167640</xdr:colOff>
                <xdr:row>1010</xdr:row>
                <xdr:rowOff>91440</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30480</xdr:rowOff>
              </from>
              <to>
                <xdr:col>12</xdr:col>
                <xdr:colOff>335280</xdr:colOff>
                <xdr:row>1058</xdr:row>
                <xdr:rowOff>53340</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30480</xdr:rowOff>
              </from>
              <to>
                <xdr:col>15</xdr:col>
                <xdr:colOff>53340</xdr:colOff>
                <xdr:row>1063</xdr:row>
                <xdr:rowOff>53340</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30480</xdr:rowOff>
              </from>
              <to>
                <xdr:col>16</xdr:col>
                <xdr:colOff>670560</xdr:colOff>
                <xdr:row>1068</xdr:row>
                <xdr:rowOff>53340</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30480</xdr:rowOff>
              </from>
              <to>
                <xdr:col>16</xdr:col>
                <xdr:colOff>106680</xdr:colOff>
                <xdr:row>1048</xdr:row>
                <xdr:rowOff>30480</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30480</xdr:rowOff>
              </from>
              <to>
                <xdr:col>16</xdr:col>
                <xdr:colOff>388620</xdr:colOff>
                <xdr:row>1053</xdr:row>
                <xdr:rowOff>53340</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30480</xdr:rowOff>
              </from>
              <to>
                <xdr:col>12</xdr:col>
                <xdr:colOff>411480</xdr:colOff>
                <xdr:row>1073</xdr:row>
                <xdr:rowOff>53340</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30480</xdr:rowOff>
              </from>
              <to>
                <xdr:col>32</xdr:col>
                <xdr:colOff>419100</xdr:colOff>
                <xdr:row>1056</xdr:row>
                <xdr:rowOff>30480</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22860</xdr:colOff>
                <xdr:row>1022</xdr:row>
                <xdr:rowOff>53340</xdr:rowOff>
              </from>
              <to>
                <xdr:col>32</xdr:col>
                <xdr:colOff>266700</xdr:colOff>
                <xdr:row>1024</xdr:row>
                <xdr:rowOff>137160</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22860</xdr:rowOff>
              </from>
              <to>
                <xdr:col>36</xdr:col>
                <xdr:colOff>167640</xdr:colOff>
                <xdr:row>1020</xdr:row>
                <xdr:rowOff>22860</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701040</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45720</xdr:rowOff>
              </from>
              <to>
                <xdr:col>35</xdr:col>
                <xdr:colOff>137160</xdr:colOff>
                <xdr:row>1023</xdr:row>
                <xdr:rowOff>45720</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68580</xdr:rowOff>
              </from>
              <to>
                <xdr:col>36</xdr:col>
                <xdr:colOff>53340</xdr:colOff>
                <xdr:row>1026</xdr:row>
                <xdr:rowOff>68580</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30480</xdr:rowOff>
              </from>
              <to>
                <xdr:col>34</xdr:col>
                <xdr:colOff>350520</xdr:colOff>
                <xdr:row>1051</xdr:row>
                <xdr:rowOff>91440</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79"/>
  <sheetViews>
    <sheetView showGridLines="0" workbookViewId="0">
      <selection activeCell="B80" sqref="B80"/>
    </sheetView>
  </sheetViews>
  <sheetFormatPr baseColWidth="10" defaultRowHeight="13.2" x14ac:dyDescent="0.25"/>
  <cols>
    <col min="1" max="1" width="2.21875" customWidth="1"/>
    <col min="2" max="2" width="16.21875" customWidth="1"/>
    <col min="3" max="4" width="11.33203125" customWidth="1"/>
  </cols>
  <sheetData>
    <row r="1" spans="1:13" x14ac:dyDescent="0.25">
      <c r="A1" s="72"/>
      <c r="B1" s="73"/>
      <c r="C1" s="74"/>
      <c r="D1" s="73"/>
      <c r="E1" s="94"/>
      <c r="F1" s="94"/>
      <c r="G1" s="94"/>
      <c r="H1" s="94"/>
      <c r="I1" s="94"/>
      <c r="J1" s="94"/>
      <c r="K1" s="94"/>
      <c r="L1" s="94"/>
      <c r="M1" s="95"/>
    </row>
    <row r="2" spans="1:13" ht="12.75" customHeight="1" x14ac:dyDescent="0.25">
      <c r="A2" s="77"/>
      <c r="B2" s="2"/>
      <c r="C2" s="701" t="s">
        <v>282</v>
      </c>
      <c r="D2" s="701"/>
      <c r="E2" s="81"/>
      <c r="F2" s="81"/>
      <c r="G2" s="81"/>
      <c r="H2" s="81"/>
      <c r="I2" s="81"/>
      <c r="J2" s="81"/>
      <c r="K2" s="81"/>
      <c r="L2" s="81"/>
      <c r="M2" s="97"/>
    </row>
    <row r="3" spans="1:13" ht="12.75" customHeight="1" x14ac:dyDescent="0.25">
      <c r="A3" s="77"/>
      <c r="B3" s="2"/>
      <c r="C3" s="701"/>
      <c r="D3" s="701"/>
      <c r="E3" s="81"/>
      <c r="F3" s="81"/>
      <c r="G3" s="81"/>
      <c r="H3" s="81"/>
      <c r="I3" s="81"/>
      <c r="J3" s="81"/>
      <c r="K3" s="81"/>
      <c r="L3" s="81"/>
      <c r="M3" s="97"/>
    </row>
    <row r="4" spans="1:13" x14ac:dyDescent="0.25">
      <c r="A4" s="77"/>
      <c r="B4" s="2"/>
      <c r="C4" s="705" t="str">
        <f>IF(Lang="Français","Abaques de performance",IF(Lang="English","Performance charts",""))</f>
        <v>Abaques de performance</v>
      </c>
      <c r="D4" s="705"/>
      <c r="E4" s="81"/>
      <c r="F4" s="81"/>
      <c r="G4" s="81"/>
      <c r="H4" s="81"/>
      <c r="I4" s="81"/>
      <c r="J4" s="81"/>
      <c r="K4" s="81"/>
      <c r="L4" s="81"/>
      <c r="M4" s="97"/>
    </row>
    <row r="5" spans="1:13" x14ac:dyDescent="0.25">
      <c r="A5" s="77"/>
      <c r="B5" s="2"/>
      <c r="C5" s="705" t="str">
        <f>IF(Lang="Français","Calcul analytique simple",IF(Lang="English","Analytical computation",""))</f>
        <v>Calcul analytique simple</v>
      </c>
      <c r="D5" s="705"/>
      <c r="E5" s="81"/>
      <c r="F5" s="81"/>
      <c r="G5" s="81"/>
      <c r="H5" s="81"/>
      <c r="I5" s="81"/>
      <c r="J5" s="81"/>
      <c r="K5" s="81"/>
      <c r="L5" s="81"/>
      <c r="M5" s="97"/>
    </row>
    <row r="6" spans="1:13" x14ac:dyDescent="0.25">
      <c r="A6" s="77"/>
      <c r="B6" s="111"/>
      <c r="C6" s="3"/>
      <c r="D6" s="3"/>
      <c r="E6" s="81"/>
      <c r="F6" s="81"/>
      <c r="G6" s="81"/>
      <c r="H6" s="81"/>
      <c r="I6" s="81"/>
      <c r="J6" s="81"/>
      <c r="K6" s="81"/>
      <c r="L6" s="81"/>
      <c r="M6" s="97"/>
    </row>
    <row r="7" spans="1:13" x14ac:dyDescent="0.25">
      <c r="A7" s="80"/>
      <c r="B7" s="8"/>
      <c r="C7" s="702" t="str">
        <f>IF(Lang="Français","Fusée",IF(Lang="English","Rocket",""))</f>
        <v>Fusée</v>
      </c>
      <c r="D7" s="702"/>
      <c r="E7" s="81"/>
      <c r="F7" s="81"/>
      <c r="G7" s="81"/>
      <c r="H7" s="81"/>
      <c r="I7" s="81"/>
      <c r="J7" s="81"/>
      <c r="K7" s="81"/>
      <c r="L7" s="81"/>
      <c r="M7" s="97"/>
    </row>
    <row r="8" spans="1:13" ht="15.6" x14ac:dyDescent="0.3">
      <c r="A8" s="80"/>
      <c r="B8" s="173" t="str">
        <f>IF(Lang="Français","Nom",IF(Lang="English","Name",""))</f>
        <v>Nom</v>
      </c>
      <c r="C8" s="703" t="str">
        <f>Nom</f>
        <v>Indra</v>
      </c>
      <c r="D8" s="703"/>
      <c r="E8" s="81"/>
      <c r="F8" s="81"/>
      <c r="G8" s="81"/>
      <c r="H8" s="81"/>
      <c r="I8" s="81"/>
      <c r="J8" s="81"/>
      <c r="K8" s="81"/>
      <c r="L8" s="81"/>
      <c r="M8" s="97"/>
    </row>
    <row r="9" spans="1:13" ht="15.6" x14ac:dyDescent="0.3">
      <c r="A9" s="80"/>
      <c r="B9" s="173" t="s">
        <v>4</v>
      </c>
      <c r="C9" s="703" t="str">
        <f>Club</f>
        <v>Space'Tech Orléans</v>
      </c>
      <c r="D9" s="703"/>
      <c r="E9" s="81"/>
      <c r="F9" s="81"/>
      <c r="G9" s="81"/>
      <c r="H9" s="81"/>
      <c r="I9" s="81"/>
      <c r="J9" s="81"/>
      <c r="K9" s="81"/>
      <c r="L9" s="81"/>
      <c r="M9" s="97"/>
    </row>
    <row r="10" spans="1:13" x14ac:dyDescent="0.25">
      <c r="A10" s="80"/>
      <c r="B10" s="173" t="str">
        <f>IF(Lang="Français","Masse sans propu",IF(Lang="English","Mass without M",""))</f>
        <v>Masse sans propu</v>
      </c>
      <c r="C10" s="769">
        <f>MasseSans</f>
        <v>8</v>
      </c>
      <c r="D10" s="769"/>
      <c r="E10" s="81"/>
      <c r="F10" s="81"/>
      <c r="G10" s="81"/>
      <c r="H10" s="81"/>
      <c r="I10" s="81"/>
      <c r="J10" s="81"/>
      <c r="K10" s="81"/>
      <c r="L10" s="81"/>
      <c r="M10" s="97"/>
    </row>
    <row r="11" spans="1:13" x14ac:dyDescent="0.25">
      <c r="A11" s="80"/>
      <c r="B11" s="173" t="str">
        <f>IF(Lang="Français","Masse totale",IF(Lang="English","Total mass",""))</f>
        <v>Masse totale</v>
      </c>
      <c r="C11" s="772" t="str">
        <f ca="1">MassePlein &amp; " kg ±" &amp; MasseSans &amp; " kg"</f>
        <v>9,685 kg ±8 kg</v>
      </c>
      <c r="D11" s="772"/>
      <c r="E11" s="81"/>
      <c r="F11" s="81"/>
      <c r="G11" s="81"/>
      <c r="H11" s="81"/>
      <c r="I11" s="81"/>
      <c r="J11" s="81"/>
      <c r="K11" s="81"/>
      <c r="L11" s="81"/>
      <c r="M11" s="97"/>
    </row>
    <row r="12" spans="1:13" x14ac:dyDescent="0.25">
      <c r="A12" s="80"/>
      <c r="B12" s="266" t="str">
        <f>IF(Lang="Français","Propulseur",IF(Lang="English","Motor",""))</f>
        <v>Propulseur</v>
      </c>
      <c r="C12" s="730" t="str">
        <f>Propu</f>
        <v>Barasinga (Pro54-5G C)</v>
      </c>
      <c r="D12" s="731"/>
      <c r="E12" s="81"/>
      <c r="F12" s="81"/>
      <c r="G12" s="81"/>
      <c r="H12" s="81"/>
      <c r="I12" s="81"/>
      <c r="J12" s="81"/>
      <c r="K12" s="81"/>
      <c r="L12" s="81"/>
      <c r="M12" s="97"/>
    </row>
    <row r="13" spans="1:13" x14ac:dyDescent="0.25">
      <c r="A13" s="80"/>
      <c r="B13" s="3"/>
      <c r="C13" s="3"/>
      <c r="D13" s="3"/>
      <c r="E13" s="81"/>
      <c r="F13" s="81"/>
      <c r="G13" s="81"/>
      <c r="H13" s="81"/>
      <c r="I13" s="81"/>
      <c r="J13" s="81"/>
      <c r="K13" s="81"/>
      <c r="L13" s="81"/>
      <c r="M13" s="97"/>
    </row>
    <row r="14" spans="1:13" x14ac:dyDescent="0.25">
      <c r="A14" s="96"/>
      <c r="B14" s="81"/>
      <c r="C14" s="702" t="str">
        <f>IF(Lang="Français","Traînée Aérdynamique",IF(Lang="English","Drag",""))</f>
        <v>Traînée Aérdynamique</v>
      </c>
      <c r="D14" s="702"/>
      <c r="E14" s="81"/>
      <c r="F14" s="81"/>
      <c r="G14" s="81"/>
      <c r="H14" s="81"/>
      <c r="I14" s="81"/>
      <c r="J14" s="81"/>
      <c r="K14" s="81"/>
      <c r="L14" s="81"/>
      <c r="M14" s="97"/>
    </row>
    <row r="15" spans="1:13" x14ac:dyDescent="0.25">
      <c r="A15" s="96"/>
      <c r="B15" s="172" t="str">
        <f>IF(Lang="Français","Diamètre Ø",IF(Lang="English","Diameter Ø",""))</f>
        <v>Diamètre Ø</v>
      </c>
      <c r="C15" s="770">
        <f>D_ref</f>
        <v>100</v>
      </c>
      <c r="D15" s="770"/>
      <c r="E15" s="81"/>
      <c r="F15" s="81"/>
      <c r="G15" s="81"/>
      <c r="H15" s="81"/>
      <c r="I15" s="81"/>
      <c r="J15" s="81"/>
      <c r="K15" s="81"/>
      <c r="L15" s="81"/>
      <c r="M15" s="97"/>
    </row>
    <row r="16" spans="1:13" x14ac:dyDescent="0.25">
      <c r="A16" s="96"/>
      <c r="B16" s="173" t="s">
        <v>5</v>
      </c>
      <c r="C16" s="771">
        <f>Cx</f>
        <v>0.5</v>
      </c>
      <c r="D16" s="771"/>
      <c r="E16" s="81"/>
      <c r="F16" s="81"/>
      <c r="G16" s="81"/>
      <c r="H16" s="81"/>
      <c r="I16" s="81"/>
      <c r="J16" s="81"/>
      <c r="K16" s="81"/>
      <c r="L16" s="81"/>
      <c r="M16" s="97"/>
    </row>
    <row r="17" spans="1:13" x14ac:dyDescent="0.25">
      <c r="A17" s="96"/>
      <c r="B17" s="81"/>
      <c r="C17" s="81"/>
      <c r="D17" s="81"/>
      <c r="E17" s="81"/>
      <c r="F17" s="81"/>
      <c r="G17" s="81"/>
      <c r="H17" s="81"/>
      <c r="I17" s="81"/>
      <c r="J17" s="81"/>
      <c r="K17" s="81"/>
      <c r="L17" s="81"/>
      <c r="M17" s="97"/>
    </row>
    <row r="18" spans="1:13" x14ac:dyDescent="0.25">
      <c r="A18" s="96"/>
      <c r="B18" s="81"/>
      <c r="C18" s="81"/>
      <c r="D18" s="81"/>
      <c r="E18" s="81"/>
      <c r="F18" s="81"/>
      <c r="G18" s="81"/>
      <c r="H18" s="81"/>
      <c r="I18" s="81"/>
      <c r="J18" s="81"/>
      <c r="K18" s="81"/>
      <c r="L18" s="81"/>
      <c r="M18" s="97"/>
    </row>
    <row r="19" spans="1:13" x14ac:dyDescent="0.25">
      <c r="A19" s="96"/>
      <c r="B19" s="81"/>
      <c r="C19" s="81"/>
      <c r="D19" s="81"/>
      <c r="E19" s="81"/>
      <c r="F19" s="81"/>
      <c r="G19" s="81"/>
      <c r="H19" s="81"/>
      <c r="I19" s="81"/>
      <c r="J19" s="81"/>
      <c r="K19" s="81"/>
      <c r="L19" s="81"/>
      <c r="M19" s="97"/>
    </row>
    <row r="20" spans="1:13" x14ac:dyDescent="0.25">
      <c r="A20" s="96"/>
      <c r="B20" s="81"/>
      <c r="C20" s="81"/>
      <c r="D20" s="81"/>
      <c r="E20" s="81"/>
      <c r="F20" s="81"/>
      <c r="G20" s="81"/>
      <c r="H20" s="81"/>
      <c r="I20" s="81"/>
      <c r="J20" s="81"/>
      <c r="K20" s="81"/>
      <c r="L20" s="81"/>
      <c r="M20" s="97"/>
    </row>
    <row r="21" spans="1:13" x14ac:dyDescent="0.25">
      <c r="A21" s="96"/>
      <c r="B21" s="81"/>
      <c r="C21" s="81"/>
      <c r="D21" s="81"/>
      <c r="E21" s="81"/>
      <c r="F21" s="81"/>
      <c r="G21" s="81"/>
      <c r="H21" s="81"/>
      <c r="I21" s="81"/>
      <c r="J21" s="81"/>
      <c r="K21" s="81"/>
      <c r="L21" s="81"/>
      <c r="M21" s="97"/>
    </row>
    <row r="22" spans="1:13" x14ac:dyDescent="0.25">
      <c r="A22" s="96"/>
      <c r="B22" s="81"/>
      <c r="C22" s="81"/>
      <c r="D22" s="81"/>
      <c r="E22" s="81"/>
      <c r="F22" s="81"/>
      <c r="G22" s="81"/>
      <c r="H22" s="81"/>
      <c r="I22" s="81"/>
      <c r="J22" s="81"/>
      <c r="K22" s="81"/>
      <c r="L22" s="81"/>
      <c r="M22" s="97"/>
    </row>
    <row r="23" spans="1:13" x14ac:dyDescent="0.25">
      <c r="A23" s="96"/>
      <c r="B23" s="81"/>
      <c r="C23" s="81"/>
      <c r="D23" s="81"/>
      <c r="E23" s="81"/>
      <c r="F23" s="81"/>
      <c r="G23" s="81"/>
      <c r="H23" s="81"/>
      <c r="I23" s="81"/>
      <c r="J23" s="81"/>
      <c r="K23" s="81"/>
      <c r="L23" s="81"/>
      <c r="M23" s="97"/>
    </row>
    <row r="24" spans="1:13" x14ac:dyDescent="0.25">
      <c r="A24" s="96"/>
      <c r="B24" s="81"/>
      <c r="C24" s="81"/>
      <c r="D24" s="81"/>
      <c r="E24" s="81"/>
      <c r="F24" s="81"/>
      <c r="G24" s="81"/>
      <c r="H24" s="81"/>
      <c r="I24" s="81"/>
      <c r="J24" s="81"/>
      <c r="K24" s="81"/>
      <c r="L24" s="81"/>
      <c r="M24" s="97"/>
    </row>
    <row r="25" spans="1:13" x14ac:dyDescent="0.25">
      <c r="A25" s="96"/>
      <c r="B25" s="81"/>
      <c r="C25" s="81"/>
      <c r="D25" s="81"/>
      <c r="E25" s="81"/>
      <c r="F25" s="81"/>
      <c r="G25" s="81"/>
      <c r="H25" s="81"/>
      <c r="I25" s="81"/>
      <c r="J25" s="81"/>
      <c r="K25" s="81"/>
      <c r="L25" s="81"/>
      <c r="M25" s="97"/>
    </row>
    <row r="26" spans="1:13" x14ac:dyDescent="0.25">
      <c r="A26" s="96"/>
      <c r="B26" s="81"/>
      <c r="C26" s="81"/>
      <c r="D26" s="81"/>
      <c r="E26" s="81"/>
      <c r="F26" s="81"/>
      <c r="G26" s="81"/>
      <c r="H26" s="81"/>
      <c r="I26" s="81"/>
      <c r="J26" s="81"/>
      <c r="K26" s="81"/>
      <c r="L26" s="81"/>
      <c r="M26" s="97"/>
    </row>
    <row r="27" spans="1:13" x14ac:dyDescent="0.25">
      <c r="A27" s="96"/>
      <c r="B27" s="81"/>
      <c r="C27" s="81"/>
      <c r="D27" s="81"/>
      <c r="E27" s="81"/>
      <c r="F27" s="81"/>
      <c r="G27" s="81"/>
      <c r="H27" s="81"/>
      <c r="I27" s="81"/>
      <c r="J27" s="81"/>
      <c r="K27" s="81"/>
      <c r="L27" s="81"/>
      <c r="M27" s="97"/>
    </row>
    <row r="28" spans="1:13" x14ac:dyDescent="0.25">
      <c r="A28" s="96"/>
      <c r="B28" s="81"/>
      <c r="C28" s="81"/>
      <c r="D28" s="81"/>
      <c r="E28" s="81"/>
      <c r="F28" s="81"/>
      <c r="G28" s="81"/>
      <c r="H28" s="81"/>
      <c r="I28" s="81"/>
      <c r="J28" s="81"/>
      <c r="K28" s="81"/>
      <c r="L28" s="81"/>
      <c r="M28" s="97"/>
    </row>
    <row r="29" spans="1:13" x14ac:dyDescent="0.25">
      <c r="A29" s="96"/>
      <c r="B29" s="81"/>
      <c r="C29" s="81"/>
      <c r="D29" s="81"/>
      <c r="E29" s="81"/>
      <c r="F29" s="81"/>
      <c r="G29" s="81"/>
      <c r="H29" s="81"/>
      <c r="I29" s="81"/>
      <c r="J29" s="81"/>
      <c r="K29" s="81"/>
      <c r="L29" s="81"/>
      <c r="M29" s="97"/>
    </row>
    <row r="30" spans="1:13" x14ac:dyDescent="0.25">
      <c r="A30" s="96"/>
      <c r="B30" s="81"/>
      <c r="C30" s="81"/>
      <c r="D30" s="81"/>
      <c r="E30" s="81"/>
      <c r="F30" s="81"/>
      <c r="G30" s="81"/>
      <c r="H30" s="81"/>
      <c r="I30" s="81"/>
      <c r="J30" s="81"/>
      <c r="K30" s="81"/>
      <c r="L30" s="81"/>
      <c r="M30" s="97"/>
    </row>
    <row r="31" spans="1:13" x14ac:dyDescent="0.25">
      <c r="A31" s="96"/>
      <c r="B31" s="81"/>
      <c r="C31" s="81"/>
      <c r="D31" s="81"/>
      <c r="E31" s="81"/>
      <c r="F31" s="81"/>
      <c r="G31" s="81"/>
      <c r="H31" s="81"/>
      <c r="I31" s="81"/>
      <c r="J31" s="81"/>
      <c r="K31" s="81"/>
      <c r="L31" s="81"/>
      <c r="M31" s="97"/>
    </row>
    <row r="32" spans="1:13" x14ac:dyDescent="0.25">
      <c r="A32" s="96"/>
      <c r="B32" s="81"/>
      <c r="C32" s="81"/>
      <c r="D32" s="81"/>
      <c r="E32" s="81"/>
      <c r="F32" s="81"/>
      <c r="G32" s="81"/>
      <c r="H32" s="81"/>
      <c r="I32" s="81"/>
      <c r="J32" s="81"/>
      <c r="K32" s="81"/>
      <c r="L32" s="81"/>
      <c r="M32" s="97"/>
    </row>
    <row r="33" spans="1:13" x14ac:dyDescent="0.25">
      <c r="A33" s="96"/>
      <c r="B33" s="81"/>
      <c r="C33" s="81"/>
      <c r="D33" s="81"/>
      <c r="E33" s="81"/>
      <c r="F33" s="81"/>
      <c r="G33" s="81"/>
      <c r="H33" s="81"/>
      <c r="I33" s="81"/>
      <c r="J33" s="81"/>
      <c r="K33" s="81"/>
      <c r="L33" s="81"/>
      <c r="M33" s="97"/>
    </row>
    <row r="34" spans="1:13" x14ac:dyDescent="0.25">
      <c r="A34" s="96"/>
      <c r="B34" s="81"/>
      <c r="C34" s="81"/>
      <c r="D34" s="81"/>
      <c r="E34" s="81"/>
      <c r="F34" s="81"/>
      <c r="G34" s="81"/>
      <c r="H34" s="81"/>
      <c r="I34" s="81"/>
      <c r="J34" s="81"/>
      <c r="K34" s="81"/>
      <c r="L34" s="81"/>
      <c r="M34" s="97"/>
    </row>
    <row r="35" spans="1:13" ht="13.8" thickBot="1" x14ac:dyDescent="0.3">
      <c r="A35" s="99"/>
      <c r="B35" s="102"/>
      <c r="C35" s="102"/>
      <c r="D35" s="102"/>
      <c r="E35" s="102"/>
      <c r="F35" s="102"/>
      <c r="G35" s="102"/>
      <c r="H35" s="102"/>
      <c r="I35" s="102"/>
      <c r="J35" s="102"/>
      <c r="K35" s="102"/>
      <c r="L35" s="102"/>
      <c r="M35" s="101"/>
    </row>
    <row r="39" spans="1:13" x14ac:dyDescent="0.25">
      <c r="B39" s="480" t="s">
        <v>62</v>
      </c>
      <c r="C39" s="203" t="s">
        <v>286</v>
      </c>
      <c r="D39" s="167" t="s">
        <v>283</v>
      </c>
      <c r="E39" s="167" t="s">
        <v>287</v>
      </c>
      <c r="F39" s="167" t="s">
        <v>288</v>
      </c>
      <c r="G39" s="167" t="s">
        <v>13</v>
      </c>
      <c r="H39" s="167" t="s">
        <v>284</v>
      </c>
      <c r="I39" s="167" t="s">
        <v>285</v>
      </c>
      <c r="J39" s="167" t="s">
        <v>300</v>
      </c>
      <c r="K39" s="167" t="s">
        <v>301</v>
      </c>
      <c r="L39" s="167" t="s">
        <v>303</v>
      </c>
      <c r="M39" s="167" t="s">
        <v>291</v>
      </c>
    </row>
    <row r="40" spans="1:13" x14ac:dyDescent="0.25">
      <c r="B40" s="481" t="s">
        <v>292</v>
      </c>
      <c r="C40" s="203" t="s">
        <v>293</v>
      </c>
      <c r="D40" s="167" t="s">
        <v>294</v>
      </c>
      <c r="E40" s="167" t="s">
        <v>295</v>
      </c>
      <c r="F40" s="167" t="s">
        <v>296</v>
      </c>
      <c r="G40" s="167" t="s">
        <v>297</v>
      </c>
      <c r="H40" s="167" t="s">
        <v>298</v>
      </c>
      <c r="I40" s="167" t="s">
        <v>299</v>
      </c>
      <c r="J40" s="167" t="s">
        <v>289</v>
      </c>
      <c r="K40" s="167" t="s">
        <v>290</v>
      </c>
      <c r="L40" s="167"/>
      <c r="M40" s="167"/>
    </row>
    <row r="41" spans="1:13" x14ac:dyDescent="0.25">
      <c r="B41" s="489">
        <f t="shared" ref="B41:B49" ca="1" si="0">MAX(D_ref*0.5, Diam_propu)</f>
        <v>54</v>
      </c>
      <c r="C41" s="464">
        <f t="shared" ref="C41:C67" ca="1" si="1">1/2*Rho_moyen*PI()*D_var^2/4*Cx/10^6</f>
        <v>7.0138019486800632E-4</v>
      </c>
      <c r="D41" s="461">
        <f ca="1">MpropuPlein+0*MasseSans</f>
        <v>1.6850000000000001</v>
      </c>
      <c r="E41" s="461">
        <f t="shared" ref="E41:E67" ca="1" si="2">m_var - 0.5*m_poudre</f>
        <v>1.1685000000000001</v>
      </c>
      <c r="F41" s="461">
        <f t="shared" ref="F41:F67" ca="1" si="3">m_var - m_poudre</f>
        <v>0.65200000000000014</v>
      </c>
      <c r="G41" s="468">
        <f t="shared" ref="G41:G67" ca="1" si="4">MAX(0, (I_total/Temps_fin_propu)/m_prop-g)</f>
        <v>480.87217115245477</v>
      </c>
      <c r="H41" s="467">
        <f t="shared" ref="H41:H67" ca="1" si="5">Q_var/m_prop</f>
        <v>6.0023979021652223E-4</v>
      </c>
      <c r="I41" s="464">
        <f t="shared" ref="I41:I67" ca="1" si="6">Q_var/m_bal</f>
        <v>1.0757364951963285E-3</v>
      </c>
      <c r="J41" s="464">
        <f t="shared" ref="J41:J67" ca="1" si="7">1/(2*b_prop)*LN(  ((EXP(2*SQRT(a_prop*b_prop)*Temps_fin_propu)+1)^2)  /  (((1+1)^2)*EXP(2*SQRT(a_prop*b_prop)*Temps_fin_propu)))</f>
        <v>2093.3057315751853</v>
      </c>
      <c r="K41" s="471">
        <f t="shared" ref="K41:K67" ca="1" si="8">SQRT(a_prop/b_prop)  *  (EXP(2*SQRT(a_prop*b_prop)*Temps_fin_propu)-1)/(EXP(2*SQRT(a_prop*b_prop)*Temps_fin_propu)+1)</f>
        <v>858.03255877092988</v>
      </c>
      <c r="L41" s="474">
        <f t="shared" ref="L41:L67" ca="1" si="9">alt_prop + 1/(2*b_bal) * LN(1+b_bal/g*V_prop^2)</f>
        <v>4140.0163847444119</v>
      </c>
      <c r="M41" s="477">
        <f t="shared" ref="M41:M67" ca="1" si="10">Temps_fin_propu + ATAN(SQRT(b_bal/g)*V_prop)/SQRT(b_bal*g)</f>
        <v>17.801914529830043</v>
      </c>
    </row>
    <row r="42" spans="1:13" x14ac:dyDescent="0.25">
      <c r="B42" s="490">
        <f t="shared" ca="1" si="0"/>
        <v>54</v>
      </c>
      <c r="C42" s="465">
        <f t="shared" ca="1" si="1"/>
        <v>7.0138019486800632E-4</v>
      </c>
      <c r="D42" s="462">
        <f ca="1">MpropuPlein+0.25*MasseSans</f>
        <v>3.6850000000000001</v>
      </c>
      <c r="E42" s="462">
        <f t="shared" ca="1" si="2"/>
        <v>3.1684999999999999</v>
      </c>
      <c r="F42" s="462">
        <f t="shared" ca="1" si="3"/>
        <v>2.6520000000000001</v>
      </c>
      <c r="G42" s="469">
        <f t="shared" ca="1" si="4"/>
        <v>171.14695660143394</v>
      </c>
      <c r="H42" s="465">
        <f t="shared" ca="1" si="5"/>
        <v>2.2136032661133228E-4</v>
      </c>
      <c r="I42" s="465">
        <f t="shared" ca="1" si="6"/>
        <v>2.6447217001056045E-4</v>
      </c>
      <c r="J42" s="465">
        <f t="shared" ca="1" si="7"/>
        <v>1023.3187464356874</v>
      </c>
      <c r="K42" s="472">
        <f t="shared" ca="1" si="8"/>
        <v>530.7258930227166</v>
      </c>
      <c r="L42" s="475">
        <f t="shared" ca="1" si="9"/>
        <v>5089.9573787425525</v>
      </c>
      <c r="M42" s="478">
        <f t="shared" ca="1" si="10"/>
        <v>27.59436252360247</v>
      </c>
    </row>
    <row r="43" spans="1:13" x14ac:dyDescent="0.25">
      <c r="B43" s="490">
        <f t="shared" ca="1" si="0"/>
        <v>54</v>
      </c>
      <c r="C43" s="465">
        <f t="shared" ca="1" si="1"/>
        <v>7.0138019486800632E-4</v>
      </c>
      <c r="D43" s="462">
        <f ca="1">MpropuPlein+0.5*MasseSans</f>
        <v>5.6850000000000005</v>
      </c>
      <c r="E43" s="462">
        <f t="shared" ca="1" si="2"/>
        <v>5.1685000000000008</v>
      </c>
      <c r="F43" s="462">
        <f t="shared" ca="1" si="3"/>
        <v>4.652000000000001</v>
      </c>
      <c r="G43" s="469">
        <f t="shared" ca="1" si="4"/>
        <v>101.12394930669312</v>
      </c>
      <c r="H43" s="465">
        <f t="shared" ca="1" si="5"/>
        <v>1.3570285283312494E-4</v>
      </c>
      <c r="I43" s="465">
        <f t="shared" ca="1" si="6"/>
        <v>1.5076960336801509E-4</v>
      </c>
      <c r="J43" s="465">
        <f t="shared" ca="1" si="7"/>
        <v>633.29920190038695</v>
      </c>
      <c r="K43" s="472">
        <f t="shared" ca="1" si="8"/>
        <v>343.04569155714501</v>
      </c>
      <c r="L43" s="475">
        <f t="shared" ca="1" si="9"/>
        <v>4058.0456493213251</v>
      </c>
      <c r="M43" s="478">
        <f t="shared" ca="1" si="10"/>
        <v>27.808858978293276</v>
      </c>
    </row>
    <row r="44" spans="1:13" x14ac:dyDescent="0.25">
      <c r="B44" s="490">
        <f t="shared" ca="1" si="0"/>
        <v>54</v>
      </c>
      <c r="C44" s="465">
        <f t="shared" ca="1" si="1"/>
        <v>7.0138019486800632E-4</v>
      </c>
      <c r="D44" s="462">
        <f ca="1">MpropuPlein+0.75*MasseSans</f>
        <v>7.6850000000000005</v>
      </c>
      <c r="E44" s="462">
        <f t="shared" ca="1" si="2"/>
        <v>7.1685000000000008</v>
      </c>
      <c r="F44" s="462">
        <f t="shared" ca="1" si="3"/>
        <v>6.652000000000001</v>
      </c>
      <c r="G44" s="469">
        <f t="shared" ca="1" si="4"/>
        <v>70.173555414890615</v>
      </c>
      <c r="H44" s="465">
        <f t="shared" ca="1" si="5"/>
        <v>9.784197459273296E-5</v>
      </c>
      <c r="I44" s="465">
        <f t="shared" ca="1" si="6"/>
        <v>1.0543899501924327E-4</v>
      </c>
      <c r="J44" s="465">
        <f t="shared" ca="1" si="7"/>
        <v>445.68603836797223</v>
      </c>
      <c r="K44" s="472">
        <f t="shared" ca="1" si="8"/>
        <v>244.74620787216733</v>
      </c>
      <c r="L44" s="475">
        <f t="shared" ca="1" si="9"/>
        <v>2802.6060648673374</v>
      </c>
      <c r="M44" s="478">
        <f t="shared" ca="1" si="10"/>
        <v>24.614968950357603</v>
      </c>
    </row>
    <row r="45" spans="1:13" x14ac:dyDescent="0.25">
      <c r="B45" s="490">
        <f t="shared" ca="1" si="0"/>
        <v>54</v>
      </c>
      <c r="C45" s="465">
        <f t="shared" ca="1" si="1"/>
        <v>7.0138019486800632E-4</v>
      </c>
      <c r="D45" s="462">
        <f ca="1">MpropuPlein+1*MasseSans</f>
        <v>9.6850000000000005</v>
      </c>
      <c r="E45" s="462">
        <f t="shared" ca="1" si="2"/>
        <v>9.1684999999999999</v>
      </c>
      <c r="F45" s="462">
        <f t="shared" ca="1" si="3"/>
        <v>8.652000000000001</v>
      </c>
      <c r="G45" s="469">
        <f t="shared" ca="1" si="4"/>
        <v>52.726087363433869</v>
      </c>
      <c r="H45" s="465">
        <f t="shared" ca="1" si="5"/>
        <v>7.6498903295850606E-5</v>
      </c>
      <c r="I45" s="465">
        <f t="shared" ca="1" si="6"/>
        <v>8.1065672083680793E-5</v>
      </c>
      <c r="J45" s="465">
        <f t="shared" ca="1" si="7"/>
        <v>336.86595454495995</v>
      </c>
      <c r="K45" s="472">
        <f t="shared" ca="1" si="8"/>
        <v>186.07349152442239</v>
      </c>
      <c r="L45" s="475">
        <f t="shared" ca="1" si="9"/>
        <v>1888.8433761052199</v>
      </c>
      <c r="M45" s="478">
        <f t="shared" ca="1" si="10"/>
        <v>21.007302489027058</v>
      </c>
    </row>
    <row r="46" spans="1:13" x14ac:dyDescent="0.25">
      <c r="B46" s="490">
        <f t="shared" ca="1" si="0"/>
        <v>54</v>
      </c>
      <c r="C46" s="465">
        <f t="shared" ca="1" si="1"/>
        <v>7.0138019486800632E-4</v>
      </c>
      <c r="D46" s="462">
        <f ca="1">MpropuPlein+1.25*MasseSans</f>
        <v>11.685</v>
      </c>
      <c r="E46" s="462">
        <f t="shared" ca="1" si="2"/>
        <v>11.1685</v>
      </c>
      <c r="F46" s="462">
        <f t="shared" ca="1" si="3"/>
        <v>10.652000000000001</v>
      </c>
      <c r="G46" s="469">
        <f t="shared" ca="1" si="4"/>
        <v>41.527432689407121</v>
      </c>
      <c r="H46" s="465">
        <f t="shared" ca="1" si="5"/>
        <v>6.2799856280432132E-5</v>
      </c>
      <c r="I46" s="465">
        <f t="shared" ca="1" si="6"/>
        <v>6.5844930047691166E-5</v>
      </c>
      <c r="J46" s="465">
        <f t="shared" ca="1" si="7"/>
        <v>266.11907130064623</v>
      </c>
      <c r="K46" s="472">
        <f t="shared" ca="1" si="8"/>
        <v>147.43535176199717</v>
      </c>
      <c r="L46" s="475">
        <f t="shared" ca="1" si="9"/>
        <v>1300.296919504206</v>
      </c>
      <c r="M46" s="478">
        <f t="shared" ca="1" si="10"/>
        <v>17.946163792828496</v>
      </c>
    </row>
    <row r="47" spans="1:13" x14ac:dyDescent="0.25">
      <c r="B47" s="490">
        <f t="shared" ca="1" si="0"/>
        <v>54</v>
      </c>
      <c r="C47" s="465">
        <f t="shared" ca="1" si="1"/>
        <v>7.0138019486800632E-4</v>
      </c>
      <c r="D47" s="462">
        <f ca="1">MpropuPlein+1.5*MasseSans</f>
        <v>13.685</v>
      </c>
      <c r="E47" s="462">
        <f t="shared" ca="1" si="2"/>
        <v>13.1685</v>
      </c>
      <c r="F47" s="462">
        <f t="shared" ca="1" si="3"/>
        <v>12.652000000000001</v>
      </c>
      <c r="G47" s="469">
        <f t="shared" ca="1" si="4"/>
        <v>33.730427306955498</v>
      </c>
      <c r="H47" s="465">
        <f t="shared" ca="1" si="5"/>
        <v>5.326196566564197E-5</v>
      </c>
      <c r="I47" s="465">
        <f t="shared" ca="1" si="6"/>
        <v>5.5436310059121582E-5</v>
      </c>
      <c r="J47" s="465">
        <f t="shared" ca="1" si="7"/>
        <v>216.52690497860442</v>
      </c>
      <c r="K47" s="472">
        <f t="shared" ca="1" si="8"/>
        <v>120.16621558309711</v>
      </c>
      <c r="L47" s="475">
        <f t="shared" ca="1" si="9"/>
        <v>924.01818488572371</v>
      </c>
      <c r="M47" s="478">
        <f t="shared" ca="1" si="10"/>
        <v>15.521595270119338</v>
      </c>
    </row>
    <row r="48" spans="1:13" x14ac:dyDescent="0.25">
      <c r="B48" s="490">
        <f t="shared" ca="1" si="0"/>
        <v>54</v>
      </c>
      <c r="C48" s="465">
        <f t="shared" ca="1" si="1"/>
        <v>7.0138019486800632E-4</v>
      </c>
      <c r="D48" s="462">
        <f ca="1">MpropuPlein+1.75*MasseSans</f>
        <v>15.685</v>
      </c>
      <c r="E48" s="462">
        <f t="shared" ca="1" si="2"/>
        <v>15.1685</v>
      </c>
      <c r="F48" s="462">
        <f t="shared" ca="1" si="3"/>
        <v>14.652000000000001</v>
      </c>
      <c r="G48" s="469">
        <f t="shared" ca="1" si="4"/>
        <v>27.989526452295443</v>
      </c>
      <c r="H48" s="465">
        <f t="shared" ca="1" si="5"/>
        <v>4.6239258652339146E-5</v>
      </c>
      <c r="I48" s="465">
        <f t="shared" ca="1" si="6"/>
        <v>4.7869246168987598E-5</v>
      </c>
      <c r="J48" s="465">
        <f t="shared" ca="1" si="7"/>
        <v>179.86671062417039</v>
      </c>
      <c r="K48" s="472">
        <f t="shared" ca="1" si="8"/>
        <v>99.927421284134724</v>
      </c>
      <c r="L48" s="475">
        <f t="shared" ca="1" si="9"/>
        <v>676.80043471102567</v>
      </c>
      <c r="M48" s="478">
        <f t="shared" ca="1" si="10"/>
        <v>13.615511958579361</v>
      </c>
    </row>
    <row r="49" spans="2:13" x14ac:dyDescent="0.25">
      <c r="B49" s="491">
        <f t="shared" ca="1" si="0"/>
        <v>54</v>
      </c>
      <c r="C49" s="466">
        <f t="shared" ca="1" si="1"/>
        <v>7.0138019486800632E-4</v>
      </c>
      <c r="D49" s="463">
        <f ca="1">MpropuPlein+2*MasseSans</f>
        <v>17.684999999999999</v>
      </c>
      <c r="E49" s="463">
        <f t="shared" ca="1" si="2"/>
        <v>17.168499999999998</v>
      </c>
      <c r="F49" s="463">
        <f t="shared" ca="1" si="3"/>
        <v>16.651999999999997</v>
      </c>
      <c r="G49" s="470">
        <f t="shared" ca="1" si="4"/>
        <v>23.58616838929688</v>
      </c>
      <c r="H49" s="466">
        <f t="shared" ca="1" si="5"/>
        <v>4.0852735816641315E-5</v>
      </c>
      <c r="I49" s="466">
        <f t="shared" ca="1" si="6"/>
        <v>4.2119877184002309E-5</v>
      </c>
      <c r="J49" s="466">
        <f t="shared" ca="1" si="7"/>
        <v>151.67690526360363</v>
      </c>
      <c r="K49" s="473">
        <f t="shared" ca="1" si="8"/>
        <v>84.325568842902626</v>
      </c>
      <c r="L49" s="476">
        <f t="shared" ca="1" si="9"/>
        <v>508.68061117831814</v>
      </c>
      <c r="M49" s="479">
        <f t="shared" ca="1" si="10"/>
        <v>12.099967550261276</v>
      </c>
    </row>
    <row r="50" spans="2:13" x14ac:dyDescent="0.25">
      <c r="B50" s="489">
        <f t="shared" ref="B50:B58" si="11">D_ref</f>
        <v>100</v>
      </c>
      <c r="C50" s="464">
        <f t="shared" si="1"/>
        <v>2.4052818754046858E-3</v>
      </c>
      <c r="D50" s="461">
        <f ca="1">MpropuPlein+0*MasseSans</f>
        <v>1.6850000000000001</v>
      </c>
      <c r="E50" s="461">
        <f t="shared" ca="1" si="2"/>
        <v>1.1685000000000001</v>
      </c>
      <c r="F50" s="461">
        <f t="shared" ca="1" si="3"/>
        <v>0.65200000000000014</v>
      </c>
      <c r="G50" s="468">
        <f t="shared" ca="1" si="4"/>
        <v>480.87217115245477</v>
      </c>
      <c r="H50" s="464">
        <f t="shared" ca="1" si="5"/>
        <v>2.0584354945696924E-3</v>
      </c>
      <c r="I50" s="464">
        <f t="shared" ca="1" si="6"/>
        <v>3.689082630988781E-3</v>
      </c>
      <c r="J50" s="464">
        <f t="shared" ca="1" si="7"/>
        <v>1398.8131370122233</v>
      </c>
      <c r="K50" s="471">
        <f t="shared" ca="1" si="8"/>
        <v>482.56962891531936</v>
      </c>
      <c r="L50" s="474">
        <f t="shared" ca="1" si="9"/>
        <v>2006.5285928599058</v>
      </c>
      <c r="M50" s="477">
        <f t="shared" ca="1" si="10"/>
        <v>11.287475424538179</v>
      </c>
    </row>
    <row r="51" spans="2:13" x14ac:dyDescent="0.25">
      <c r="B51" s="490">
        <f t="shared" si="11"/>
        <v>100</v>
      </c>
      <c r="C51" s="465">
        <f t="shared" si="1"/>
        <v>2.4052818754046858E-3</v>
      </c>
      <c r="D51" s="462">
        <f ca="1">MpropuPlein+0.25*MasseSans</f>
        <v>3.6850000000000001</v>
      </c>
      <c r="E51" s="462">
        <f t="shared" ca="1" si="2"/>
        <v>3.1684999999999999</v>
      </c>
      <c r="F51" s="462">
        <f t="shared" ca="1" si="3"/>
        <v>2.6520000000000001</v>
      </c>
      <c r="G51" s="469">
        <f t="shared" ca="1" si="4"/>
        <v>171.14695660143394</v>
      </c>
      <c r="H51" s="465">
        <f t="shared" ca="1" si="5"/>
        <v>7.5912320511430835E-4</v>
      </c>
      <c r="I51" s="465">
        <f t="shared" ca="1" si="6"/>
        <v>9.0696903295802626E-4</v>
      </c>
      <c r="J51" s="465">
        <f t="shared" ca="1" si="7"/>
        <v>886.98924597532744</v>
      </c>
      <c r="K51" s="472">
        <f t="shared" ca="1" si="8"/>
        <v>408.42599659228114</v>
      </c>
      <c r="L51" s="475">
        <f t="shared" ca="1" si="9"/>
        <v>2429.8437188360358</v>
      </c>
      <c r="M51" s="478">
        <f t="shared" ca="1" si="10"/>
        <v>17.599482338218742</v>
      </c>
    </row>
    <row r="52" spans="2:13" x14ac:dyDescent="0.25">
      <c r="B52" s="490">
        <f t="shared" si="11"/>
        <v>100</v>
      </c>
      <c r="C52" s="465">
        <f t="shared" si="1"/>
        <v>2.4052818754046858E-3</v>
      </c>
      <c r="D52" s="462">
        <f ca="1">MpropuPlein+0.5*MasseSans</f>
        <v>5.6850000000000005</v>
      </c>
      <c r="E52" s="462">
        <f t="shared" ca="1" si="2"/>
        <v>5.1685000000000008</v>
      </c>
      <c r="F52" s="462">
        <f t="shared" ca="1" si="3"/>
        <v>4.652000000000001</v>
      </c>
      <c r="G52" s="469">
        <f t="shared" ca="1" si="4"/>
        <v>101.12394930669312</v>
      </c>
      <c r="H52" s="465">
        <f t="shared" ca="1" si="5"/>
        <v>4.653732950381514E-4</v>
      </c>
      <c r="I52" s="465">
        <f t="shared" ca="1" si="6"/>
        <v>5.1704253555560735E-4</v>
      </c>
      <c r="J52" s="465">
        <f t="shared" ca="1" si="7"/>
        <v>594.78789885391814</v>
      </c>
      <c r="K52" s="472">
        <f t="shared" ca="1" si="8"/>
        <v>303.936521247396</v>
      </c>
      <c r="L52" s="475">
        <f t="shared" ca="1" si="9"/>
        <v>2306.1096728489811</v>
      </c>
      <c r="M52" s="478">
        <f t="shared" ca="1" si="10"/>
        <v>19.671116474999451</v>
      </c>
    </row>
    <row r="53" spans="2:13" x14ac:dyDescent="0.25">
      <c r="B53" s="490">
        <f t="shared" si="11"/>
        <v>100</v>
      </c>
      <c r="C53" s="465">
        <f t="shared" si="1"/>
        <v>2.4052818754046858E-3</v>
      </c>
      <c r="D53" s="462">
        <f ca="1">MpropuPlein+0.75*MasseSans</f>
        <v>7.6850000000000005</v>
      </c>
      <c r="E53" s="462">
        <f t="shared" ca="1" si="2"/>
        <v>7.1685000000000008</v>
      </c>
      <c r="F53" s="462">
        <f t="shared" ca="1" si="3"/>
        <v>6.652000000000001</v>
      </c>
      <c r="G53" s="469">
        <f t="shared" ca="1" si="4"/>
        <v>70.173555414890615</v>
      </c>
      <c r="H53" s="465">
        <f t="shared" ca="1" si="5"/>
        <v>3.3553489229332296E-4</v>
      </c>
      <c r="I53" s="465">
        <f t="shared" ca="1" si="6"/>
        <v>3.615877744144145E-4</v>
      </c>
      <c r="J53" s="465">
        <f t="shared" ca="1" si="7"/>
        <v>431.02659010897474</v>
      </c>
      <c r="K53" s="472">
        <f t="shared" ca="1" si="8"/>
        <v>229.19515029091576</v>
      </c>
      <c r="L53" s="475">
        <f t="shared" ca="1" si="9"/>
        <v>1920.4635223858961</v>
      </c>
      <c r="M53" s="478">
        <f t="shared" ca="1" si="10"/>
        <v>19.501463691517948</v>
      </c>
    </row>
    <row r="54" spans="2:13" x14ac:dyDescent="0.25">
      <c r="B54" s="490">
        <f t="shared" si="11"/>
        <v>100</v>
      </c>
      <c r="C54" s="465">
        <f t="shared" si="1"/>
        <v>2.4052818754046858E-3</v>
      </c>
      <c r="D54" s="462">
        <f ca="1">MpropuPlein+1*MasseSans</f>
        <v>9.6850000000000005</v>
      </c>
      <c r="E54" s="462">
        <f t="shared" ca="1" si="2"/>
        <v>9.1684999999999999</v>
      </c>
      <c r="F54" s="462">
        <f t="shared" ca="1" si="3"/>
        <v>8.652000000000001</v>
      </c>
      <c r="G54" s="469">
        <f t="shared" ca="1" si="4"/>
        <v>52.726087363433869</v>
      </c>
      <c r="H54" s="465">
        <f t="shared" ca="1" si="5"/>
        <v>2.6234191802417906E-4</v>
      </c>
      <c r="I54" s="465">
        <f t="shared" ca="1" si="6"/>
        <v>2.7800299068477641E-4</v>
      </c>
      <c r="J54" s="465">
        <f t="shared" ca="1" si="7"/>
        <v>330.12969470226756</v>
      </c>
      <c r="K54" s="472">
        <f t="shared" ca="1" si="8"/>
        <v>178.78662187416415</v>
      </c>
      <c r="L54" s="475">
        <f t="shared" ca="1" si="9"/>
        <v>1490.0484496058139</v>
      </c>
      <c r="M54" s="478">
        <f t="shared" ca="1" si="10"/>
        <v>18.156168712463934</v>
      </c>
    </row>
    <row r="55" spans="2:13" x14ac:dyDescent="0.25">
      <c r="B55" s="490">
        <f t="shared" si="11"/>
        <v>100</v>
      </c>
      <c r="C55" s="465">
        <f t="shared" si="1"/>
        <v>2.4052818754046858E-3</v>
      </c>
      <c r="D55" s="462">
        <f ca="1">MpropuPlein+1.25*MasseSans</f>
        <v>11.685</v>
      </c>
      <c r="E55" s="462">
        <f t="shared" ca="1" si="2"/>
        <v>11.1685</v>
      </c>
      <c r="F55" s="462">
        <f t="shared" ca="1" si="3"/>
        <v>10.652000000000001</v>
      </c>
      <c r="G55" s="469">
        <f t="shared" ca="1" si="4"/>
        <v>41.527432689407121</v>
      </c>
      <c r="H55" s="465">
        <f t="shared" ca="1" si="5"/>
        <v>2.1536301879434891E-4</v>
      </c>
      <c r="I55" s="465">
        <f t="shared" ca="1" si="6"/>
        <v>2.2580565859976396E-4</v>
      </c>
      <c r="J55" s="465">
        <f t="shared" ca="1" si="7"/>
        <v>262.61665410742665</v>
      </c>
      <c r="K55" s="472">
        <f t="shared" ca="1" si="8"/>
        <v>143.60780095728725</v>
      </c>
      <c r="L55" s="475">
        <f t="shared" ca="1" si="9"/>
        <v>1122.7734428018978</v>
      </c>
      <c r="M55" s="478">
        <f t="shared" ca="1" si="10"/>
        <v>16.408250080678428</v>
      </c>
    </row>
    <row r="56" spans="2:13" x14ac:dyDescent="0.25">
      <c r="B56" s="490">
        <f t="shared" si="11"/>
        <v>100</v>
      </c>
      <c r="C56" s="465">
        <f t="shared" si="1"/>
        <v>2.4052818754046858E-3</v>
      </c>
      <c r="D56" s="462">
        <f ca="1">MpropuPlein+1.5*MasseSans</f>
        <v>13.685</v>
      </c>
      <c r="E56" s="462">
        <f t="shared" ca="1" si="2"/>
        <v>13.1685</v>
      </c>
      <c r="F56" s="462">
        <f t="shared" ca="1" si="3"/>
        <v>12.652000000000001</v>
      </c>
      <c r="G56" s="469">
        <f t="shared" ca="1" si="4"/>
        <v>33.730427306955498</v>
      </c>
      <c r="H56" s="465">
        <f t="shared" ca="1" si="5"/>
        <v>1.8265420324294231E-4</v>
      </c>
      <c r="I56" s="465">
        <f t="shared" ca="1" si="6"/>
        <v>1.9011080267188472E-4</v>
      </c>
      <c r="J56" s="465">
        <f t="shared" ca="1" si="7"/>
        <v>214.54350076620003</v>
      </c>
      <c r="K56" s="472">
        <f t="shared" ca="1" si="8"/>
        <v>117.98580679579163</v>
      </c>
      <c r="L56" s="475">
        <f t="shared" ca="1" si="9"/>
        <v>842.69711809433386</v>
      </c>
      <c r="M56" s="478">
        <f t="shared" ca="1" si="10"/>
        <v>14.682701164671066</v>
      </c>
    </row>
    <row r="57" spans="2:13" x14ac:dyDescent="0.25">
      <c r="B57" s="490">
        <f t="shared" si="11"/>
        <v>100</v>
      </c>
      <c r="C57" s="465">
        <f t="shared" si="1"/>
        <v>2.4052818754046858E-3</v>
      </c>
      <c r="D57" s="462">
        <f ca="1">MpropuPlein+1.75*MasseSans</f>
        <v>15.685</v>
      </c>
      <c r="E57" s="462">
        <f t="shared" ca="1" si="2"/>
        <v>15.1685</v>
      </c>
      <c r="F57" s="462">
        <f t="shared" ca="1" si="3"/>
        <v>14.652000000000001</v>
      </c>
      <c r="G57" s="469">
        <f t="shared" ca="1" si="4"/>
        <v>27.989526452295443</v>
      </c>
      <c r="H57" s="465">
        <f t="shared" ca="1" si="5"/>
        <v>1.5857084585850189E-4</v>
      </c>
      <c r="I57" s="465">
        <f t="shared" ca="1" si="6"/>
        <v>1.6416065215702196E-4</v>
      </c>
      <c r="J57" s="465">
        <f t="shared" ca="1" si="7"/>
        <v>178.67215521207666</v>
      </c>
      <c r="K57" s="472">
        <f t="shared" ca="1" si="8"/>
        <v>98.609329029149919</v>
      </c>
      <c r="L57" s="475">
        <f t="shared" ca="1" si="9"/>
        <v>637.85807352103757</v>
      </c>
      <c r="M57" s="478">
        <f t="shared" ca="1" si="10"/>
        <v>13.144443340086733</v>
      </c>
    </row>
    <row r="58" spans="2:13" x14ac:dyDescent="0.25">
      <c r="B58" s="491">
        <f t="shared" si="11"/>
        <v>100</v>
      </c>
      <c r="C58" s="466">
        <f t="shared" si="1"/>
        <v>2.4052818754046858E-3</v>
      </c>
      <c r="D58" s="463">
        <f ca="1">MpropuPlein+2*MasseSans</f>
        <v>17.684999999999999</v>
      </c>
      <c r="E58" s="463">
        <f t="shared" ca="1" si="2"/>
        <v>17.168499999999998</v>
      </c>
      <c r="F58" s="463">
        <f t="shared" ca="1" si="3"/>
        <v>16.651999999999997</v>
      </c>
      <c r="G58" s="470">
        <f t="shared" ca="1" si="4"/>
        <v>23.58616838929688</v>
      </c>
      <c r="H58" s="466">
        <f t="shared" ca="1" si="5"/>
        <v>1.4009854532455869E-4</v>
      </c>
      <c r="I58" s="466">
        <f t="shared" ca="1" si="6"/>
        <v>1.4444402326475417E-4</v>
      </c>
      <c r="J58" s="466">
        <f t="shared" ca="1" si="7"/>
        <v>150.92373379440031</v>
      </c>
      <c r="K58" s="473">
        <f t="shared" ca="1" si="8"/>
        <v>83.492457077658827</v>
      </c>
      <c r="L58" s="476">
        <f t="shared" ca="1" si="9"/>
        <v>489.14855173914384</v>
      </c>
      <c r="M58" s="479">
        <f t="shared" ca="1" si="10"/>
        <v>11.826475378402664</v>
      </c>
    </row>
    <row r="59" spans="2:13" x14ac:dyDescent="0.25">
      <c r="B59" s="489">
        <f t="shared" ref="B59:B67" si="12">D_ref*1.5</f>
        <v>150</v>
      </c>
      <c r="C59" s="464">
        <f t="shared" si="1"/>
        <v>5.4118842196605428E-3</v>
      </c>
      <c r="D59" s="461">
        <f ca="1">MpropuPlein+0*MasseSans</f>
        <v>1.6850000000000001</v>
      </c>
      <c r="E59" s="461">
        <f t="shared" ca="1" si="2"/>
        <v>1.1685000000000001</v>
      </c>
      <c r="F59" s="461">
        <f t="shared" ca="1" si="3"/>
        <v>0.65200000000000014</v>
      </c>
      <c r="G59" s="468">
        <f t="shared" ca="1" si="4"/>
        <v>480.87217115245477</v>
      </c>
      <c r="H59" s="464">
        <f t="shared" ca="1" si="5"/>
        <v>4.6314798627818078E-3</v>
      </c>
      <c r="I59" s="464">
        <f t="shared" ca="1" si="6"/>
        <v>8.3004359197247565E-3</v>
      </c>
      <c r="J59" s="464">
        <f t="shared" ca="1" si="7"/>
        <v>1007.1211111549316</v>
      </c>
      <c r="K59" s="471">
        <f t="shared" ca="1" si="8"/>
        <v>322.20749964235733</v>
      </c>
      <c r="L59" s="474">
        <f t="shared" ca="1" si="9"/>
        <v>1277.399790386964</v>
      </c>
      <c r="M59" s="477">
        <f t="shared" ca="1" si="10"/>
        <v>8.7222184311874607</v>
      </c>
    </row>
    <row r="60" spans="2:13" x14ac:dyDescent="0.25">
      <c r="B60" s="490">
        <f t="shared" si="12"/>
        <v>150</v>
      </c>
      <c r="C60" s="465">
        <f t="shared" si="1"/>
        <v>5.4118842196605428E-3</v>
      </c>
      <c r="D60" s="462">
        <f ca="1">MpropuPlein+0.25*MasseSans</f>
        <v>3.6850000000000001</v>
      </c>
      <c r="E60" s="462">
        <f t="shared" ca="1" si="2"/>
        <v>3.1684999999999999</v>
      </c>
      <c r="F60" s="462">
        <f t="shared" ca="1" si="3"/>
        <v>2.6520000000000001</v>
      </c>
      <c r="G60" s="469">
        <f t="shared" ca="1" si="4"/>
        <v>171.14695660143394</v>
      </c>
      <c r="H60" s="465">
        <f t="shared" ca="1" si="5"/>
        <v>1.7080272115071937E-3</v>
      </c>
      <c r="I60" s="465">
        <f t="shared" ca="1" si="6"/>
        <v>2.0406803241555592E-3</v>
      </c>
      <c r="J60" s="465">
        <f t="shared" ca="1" si="7"/>
        <v>742.52723619330504</v>
      </c>
      <c r="K60" s="472">
        <f t="shared" ca="1" si="8"/>
        <v>303.76208522696015</v>
      </c>
      <c r="L60" s="475">
        <f t="shared" ca="1" si="9"/>
        <v>1478.8998444500298</v>
      </c>
      <c r="M60" s="478">
        <f t="shared" ca="1" si="10"/>
        <v>13.105873614308981</v>
      </c>
    </row>
    <row r="61" spans="2:13" x14ac:dyDescent="0.25">
      <c r="B61" s="490">
        <f t="shared" si="12"/>
        <v>150</v>
      </c>
      <c r="C61" s="465">
        <f t="shared" si="1"/>
        <v>5.4118842196605428E-3</v>
      </c>
      <c r="D61" s="462">
        <f ca="1">MpropuPlein+0.5*MasseSans</f>
        <v>5.6850000000000005</v>
      </c>
      <c r="E61" s="462">
        <f t="shared" ca="1" si="2"/>
        <v>5.1685000000000008</v>
      </c>
      <c r="F61" s="462">
        <f t="shared" ca="1" si="3"/>
        <v>4.652000000000001</v>
      </c>
      <c r="G61" s="469">
        <f t="shared" ca="1" si="4"/>
        <v>101.12394930669312</v>
      </c>
      <c r="H61" s="465">
        <f t="shared" ca="1" si="5"/>
        <v>1.0470899138358405E-3</v>
      </c>
      <c r="I61" s="465">
        <f t="shared" ca="1" si="6"/>
        <v>1.1633457050001165E-3</v>
      </c>
      <c r="J61" s="465">
        <f t="shared" ca="1" si="7"/>
        <v>541.81346616214501</v>
      </c>
      <c r="K61" s="472">
        <f t="shared" ca="1" si="8"/>
        <v>255.97606589868502</v>
      </c>
      <c r="L61" s="475">
        <f t="shared" ca="1" si="9"/>
        <v>1475.0581872819207</v>
      </c>
      <c r="M61" s="478">
        <f t="shared" ca="1" si="10"/>
        <v>15.069623391374682</v>
      </c>
    </row>
    <row r="62" spans="2:13" x14ac:dyDescent="0.25">
      <c r="B62" s="490">
        <f t="shared" si="12"/>
        <v>150</v>
      </c>
      <c r="C62" s="465">
        <f t="shared" si="1"/>
        <v>5.4118842196605428E-3</v>
      </c>
      <c r="D62" s="462">
        <f ca="1">MpropuPlein+0.75*MasseSans</f>
        <v>7.6850000000000005</v>
      </c>
      <c r="E62" s="462">
        <f t="shared" ca="1" si="2"/>
        <v>7.1685000000000008</v>
      </c>
      <c r="F62" s="462">
        <f t="shared" ca="1" si="3"/>
        <v>6.652000000000001</v>
      </c>
      <c r="G62" s="469">
        <f t="shared" ca="1" si="4"/>
        <v>70.173555414890615</v>
      </c>
      <c r="H62" s="465">
        <f t="shared" ca="1" si="5"/>
        <v>7.549535076599766E-4</v>
      </c>
      <c r="I62" s="465">
        <f t="shared" ca="1" si="6"/>
        <v>8.1357249243243265E-4</v>
      </c>
      <c r="J62" s="465">
        <f t="shared" ca="1" si="7"/>
        <v>408.51972580306222</v>
      </c>
      <c r="K62" s="472">
        <f t="shared" ca="1" si="8"/>
        <v>206.8562994486777</v>
      </c>
      <c r="L62" s="475">
        <f t="shared" ca="1" si="9"/>
        <v>1339.4959723794955</v>
      </c>
      <c r="M62" s="478">
        <f t="shared" ca="1" si="10"/>
        <v>15.710120750495822</v>
      </c>
    </row>
    <row r="63" spans="2:13" x14ac:dyDescent="0.25">
      <c r="B63" s="490">
        <f t="shared" si="12"/>
        <v>150</v>
      </c>
      <c r="C63" s="465">
        <f t="shared" si="1"/>
        <v>5.4118842196605428E-3</v>
      </c>
      <c r="D63" s="462">
        <f ca="1">MpropuPlein+1*MasseSans</f>
        <v>9.6850000000000005</v>
      </c>
      <c r="E63" s="462">
        <f t="shared" ca="1" si="2"/>
        <v>9.1684999999999999</v>
      </c>
      <c r="F63" s="462">
        <f t="shared" ca="1" si="3"/>
        <v>8.652000000000001</v>
      </c>
      <c r="G63" s="469">
        <f t="shared" ca="1" si="4"/>
        <v>52.726087363433869</v>
      </c>
      <c r="H63" s="465">
        <f t="shared" ca="1" si="5"/>
        <v>5.9026931555440285E-4</v>
      </c>
      <c r="I63" s="465">
        <f t="shared" ca="1" si="6"/>
        <v>6.2550672904074689E-4</v>
      </c>
      <c r="J63" s="465">
        <f t="shared" ca="1" si="7"/>
        <v>319.22295618000675</v>
      </c>
      <c r="K63" s="472">
        <f t="shared" ca="1" si="8"/>
        <v>167.47182828379562</v>
      </c>
      <c r="L63" s="475">
        <f t="shared" ca="1" si="9"/>
        <v>1138.9112897572484</v>
      </c>
      <c r="M63" s="478">
        <f t="shared" ca="1" si="10"/>
        <v>15.44582139493653</v>
      </c>
    </row>
    <row r="64" spans="2:13" x14ac:dyDescent="0.25">
      <c r="B64" s="490">
        <f t="shared" si="12"/>
        <v>150</v>
      </c>
      <c r="C64" s="465">
        <f t="shared" si="1"/>
        <v>5.4118842196605428E-3</v>
      </c>
      <c r="D64" s="462">
        <f ca="1">MpropuPlein+1.25*MasseSans</f>
        <v>11.685</v>
      </c>
      <c r="E64" s="462">
        <f t="shared" ca="1" si="2"/>
        <v>11.1685</v>
      </c>
      <c r="F64" s="462">
        <f t="shared" ca="1" si="3"/>
        <v>10.652000000000001</v>
      </c>
      <c r="G64" s="469">
        <f t="shared" ca="1" si="4"/>
        <v>41.527432689407121</v>
      </c>
      <c r="H64" s="465">
        <f t="shared" ca="1" si="5"/>
        <v>4.8456679228728501E-4</v>
      </c>
      <c r="I64" s="465">
        <f t="shared" ca="1" si="6"/>
        <v>5.0806273184946882E-4</v>
      </c>
      <c r="J64" s="465">
        <f t="shared" ca="1" si="7"/>
        <v>256.77970889550812</v>
      </c>
      <c r="K64" s="472">
        <f t="shared" ca="1" si="8"/>
        <v>137.40544835195249</v>
      </c>
      <c r="L64" s="475">
        <f t="shared" ca="1" si="9"/>
        <v>927.9489737513552</v>
      </c>
      <c r="M64" s="478">
        <f t="shared" ca="1" si="10"/>
        <v>14.635467706175648</v>
      </c>
    </row>
    <row r="65" spans="2:13" x14ac:dyDescent="0.25">
      <c r="B65" s="490">
        <f t="shared" si="12"/>
        <v>150</v>
      </c>
      <c r="C65" s="465">
        <f t="shared" si="1"/>
        <v>5.4118842196605428E-3</v>
      </c>
      <c r="D65" s="462">
        <f ca="1">MpropuPlein+1.5*MasseSans</f>
        <v>13.685</v>
      </c>
      <c r="E65" s="462">
        <f t="shared" ca="1" si="2"/>
        <v>13.1685</v>
      </c>
      <c r="F65" s="462">
        <f t="shared" ca="1" si="3"/>
        <v>12.652000000000001</v>
      </c>
      <c r="G65" s="469">
        <f t="shared" ca="1" si="4"/>
        <v>33.730427306955498</v>
      </c>
      <c r="H65" s="465">
        <f t="shared" ca="1" si="5"/>
        <v>4.1097195729662017E-4</v>
      </c>
      <c r="I65" s="465">
        <f t="shared" ca="1" si="6"/>
        <v>4.2774930601174063E-4</v>
      </c>
      <c r="J65" s="465">
        <f t="shared" ca="1" si="7"/>
        <v>211.18089285211008</v>
      </c>
      <c r="K65" s="472">
        <f t="shared" ca="1" si="8"/>
        <v>114.36145822312378</v>
      </c>
      <c r="L65" s="475">
        <f t="shared" ca="1" si="9"/>
        <v>738.64740380656156</v>
      </c>
      <c r="M65" s="478">
        <f t="shared" ca="1" si="10"/>
        <v>13.574776762659866</v>
      </c>
    </row>
    <row r="66" spans="2:13" x14ac:dyDescent="0.25">
      <c r="B66" s="490">
        <f t="shared" si="12"/>
        <v>150</v>
      </c>
      <c r="C66" s="465">
        <f t="shared" si="1"/>
        <v>5.4118842196605428E-3</v>
      </c>
      <c r="D66" s="462">
        <f ca="1">MpropuPlein+1.75*MasseSans</f>
        <v>15.685</v>
      </c>
      <c r="E66" s="462">
        <f t="shared" ca="1" si="2"/>
        <v>15.1685</v>
      </c>
      <c r="F66" s="462">
        <f t="shared" ca="1" si="3"/>
        <v>14.652000000000001</v>
      </c>
      <c r="G66" s="469">
        <f t="shared" ca="1" si="4"/>
        <v>27.989526452295443</v>
      </c>
      <c r="H66" s="465">
        <f t="shared" ca="1" si="5"/>
        <v>3.5678440318162921E-4</v>
      </c>
      <c r="I66" s="465">
        <f t="shared" ca="1" si="6"/>
        <v>3.6936146735329936E-4</v>
      </c>
      <c r="J66" s="465">
        <f t="shared" ca="1" si="7"/>
        <v>176.62475992000097</v>
      </c>
      <c r="K66" s="472">
        <f t="shared" ca="1" si="8"/>
        <v>96.382526820550765</v>
      </c>
      <c r="L66" s="475">
        <f t="shared" ca="1" si="9"/>
        <v>582.63923101288674</v>
      </c>
      <c r="M66" s="478">
        <f t="shared" ca="1" si="10"/>
        <v>12.462505575603505</v>
      </c>
    </row>
    <row r="67" spans="2:13" x14ac:dyDescent="0.25">
      <c r="B67" s="491">
        <f t="shared" si="12"/>
        <v>150</v>
      </c>
      <c r="C67" s="466">
        <f t="shared" si="1"/>
        <v>5.4118842196605428E-3</v>
      </c>
      <c r="D67" s="463">
        <f ca="1">MpropuPlein+2*MasseSans</f>
        <v>17.684999999999999</v>
      </c>
      <c r="E67" s="463">
        <f t="shared" ca="1" si="2"/>
        <v>17.168499999999998</v>
      </c>
      <c r="F67" s="463">
        <f t="shared" ca="1" si="3"/>
        <v>16.651999999999997</v>
      </c>
      <c r="G67" s="470">
        <f t="shared" ca="1" si="4"/>
        <v>23.58616838929688</v>
      </c>
      <c r="H67" s="466">
        <f t="shared" ca="1" si="5"/>
        <v>3.1522172698025705E-4</v>
      </c>
      <c r="I67" s="466">
        <f t="shared" ca="1" si="6"/>
        <v>3.2499905234569681E-4</v>
      </c>
      <c r="J67" s="466">
        <f t="shared" ca="1" si="7"/>
        <v>149.62339984799388</v>
      </c>
      <c r="K67" s="473">
        <f t="shared" ca="1" si="8"/>
        <v>82.069597726235941</v>
      </c>
      <c r="L67" s="476">
        <f t="shared" ca="1" si="9"/>
        <v>459.5034346278789</v>
      </c>
      <c r="M67" s="479">
        <f t="shared" ca="1" si="10"/>
        <v>11.405637384031312</v>
      </c>
    </row>
    <row r="71" spans="2:13" x14ac:dyDescent="0.25">
      <c r="B71" s="35" t="str">
        <f>IF(Lang="Français","Textes pour les graphiques :","Texts for graphics :")</f>
        <v>Textes pour les graphiques :</v>
      </c>
    </row>
    <row r="73" spans="2:13" x14ac:dyDescent="0.25">
      <c r="B73" t="str">
        <f>IF(Lang="Français","Masse totale",IF(Lang="English","Total Mass",""))</f>
        <v>Masse totale</v>
      </c>
    </row>
    <row r="74" spans="2:13" x14ac:dyDescent="0.25">
      <c r="B74" t="str">
        <f>IF(Lang="Français","Vitesse max",IF(Lang="English","Max Velocity",""))</f>
        <v>Vitesse max</v>
      </c>
    </row>
    <row r="75" spans="2:13" x14ac:dyDescent="0.25">
      <c r="B75" t="str">
        <f>Abaco!$B$74 &amp; " / " &amp; Abaco!$B$73</f>
        <v>Vitesse max / Masse totale</v>
      </c>
    </row>
    <row r="76" spans="2:13" x14ac:dyDescent="0.25">
      <c r="B76" t="str">
        <f>IF(Lang="Français","Altitude max",IF(Lang="English","Max Altitude",""))</f>
        <v>Altitude max</v>
      </c>
    </row>
    <row r="77" spans="2:13" x14ac:dyDescent="0.25">
      <c r="B77" t="str">
        <f>Abaco!$B$76 &amp; " / " &amp; Abaco!$B$73</f>
        <v>Altitude max / Masse totale</v>
      </c>
    </row>
    <row r="78" spans="2:13" x14ac:dyDescent="0.25">
      <c r="B78" t="str">
        <f>IF(Lang="Français","Temps de culmination",IF(Lang="English","Apogee time",""))</f>
        <v>Temps de culmination</v>
      </c>
    </row>
    <row r="79" spans="2:13" x14ac:dyDescent="0.25">
      <c r="B79" t="str">
        <f>Abaco!$B$78 &amp; " / " &amp; Abaco!$B$73</f>
        <v>Temps de culmination / Masse totale</v>
      </c>
    </row>
  </sheetData>
  <sheetProtection password="C6AC" sheet="1"/>
  <mergeCells count="12">
    <mergeCell ref="C9:D9"/>
    <mergeCell ref="C2:D3"/>
    <mergeCell ref="C4:D4"/>
    <mergeCell ref="C5:D5"/>
    <mergeCell ref="C7:D7"/>
    <mergeCell ref="C8:D8"/>
    <mergeCell ref="C10:D10"/>
    <mergeCell ref="C12:D12"/>
    <mergeCell ref="C14:D14"/>
    <mergeCell ref="C15:D15"/>
    <mergeCell ref="C16:D16"/>
    <mergeCell ref="C11:D11"/>
  </mergeCells>
  <dataValidations count="3">
    <dataValidation type="decimal" errorStyle="warning" showErrorMessage="1" errorTitle="Cx" error="Le Cx est souvent compris entre 0 et 1._x000a_Cx may be between 0 &amp; 1." sqref="C16:D16" xr:uid="{00000000-0002-0000-0500-000000000000}">
      <formula1>0</formula1>
      <formula2>1</formula2>
    </dataValidation>
    <dataValidation operator="greaterThanOrEqual" sqref="C10:D11" xr:uid="{00000000-0002-0000-0500-000001000000}"/>
    <dataValidation sqref="C12:D12" xr:uid="{00000000-0002-0000-0500-000002000000}"/>
  </dataValidations>
  <hyperlinks>
    <hyperlink ref="B12"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388620</xdr:colOff>
                <xdr:row>68</xdr:row>
                <xdr:rowOff>22860</xdr:rowOff>
              </from>
              <to>
                <xdr:col>12</xdr:col>
                <xdr:colOff>899160</xdr:colOff>
                <xdr:row>85</xdr:row>
                <xdr:rowOff>15240</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769620</xdr:colOff>
                    <xdr:row>9</xdr:row>
                    <xdr:rowOff>15240</xdr:rowOff>
                  </from>
                  <to>
                    <xdr:col>4</xdr:col>
                    <xdr:colOff>0</xdr:colOff>
                    <xdr:row>10</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769620</xdr:colOff>
                    <xdr:row>10</xdr:row>
                    <xdr:rowOff>15240</xdr:rowOff>
                  </from>
                  <to>
                    <xdr:col>4</xdr:col>
                    <xdr:colOff>0</xdr:colOff>
                    <xdr:row>11</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59"/>
  <sheetViews>
    <sheetView showGridLines="0" workbookViewId="0">
      <selection activeCell="E49" sqref="E49"/>
    </sheetView>
  </sheetViews>
  <sheetFormatPr baseColWidth="10" defaultRowHeight="13.2" x14ac:dyDescent="0.25"/>
  <cols>
    <col min="1" max="1" width="2.21875" customWidth="1"/>
    <col min="2" max="2" width="16.21875" customWidth="1"/>
    <col min="3" max="4" width="13.6640625" customWidth="1"/>
  </cols>
  <sheetData>
    <row r="2" spans="3:8" x14ac:dyDescent="0.25">
      <c r="C2" s="701" t="s">
        <v>179</v>
      </c>
      <c r="D2" s="701"/>
    </row>
    <row r="3" spans="3:8" x14ac:dyDescent="0.25">
      <c r="C3" s="701"/>
      <c r="D3" s="701"/>
    </row>
    <row r="5" spans="3:8" x14ac:dyDescent="0.25">
      <c r="C5" s="18" t="str">
        <f>IF(Lang="Français","Stabilité de fusée à ailerons","Stability of finned rocket")</f>
        <v>Stabilité de fusée à ailerons</v>
      </c>
    </row>
    <row r="6" spans="3:8" x14ac:dyDescent="0.25">
      <c r="C6" s="19" t="str">
        <f>IF(Lang="Français","Calculs de Stabilité basés sur les équations de Barrowman","Stability calculs are based on Barrowman equations")</f>
        <v>Calculs de Stabilité basés sur les équations de Barrowman</v>
      </c>
    </row>
    <row r="7" spans="3:8" x14ac:dyDescent="0.25">
      <c r="C7" s="18" t="str">
        <f>IF(Lang="Français","Trajectographie de fusée","Rocket Trajectography")</f>
        <v>Trajectographie de fusée</v>
      </c>
    </row>
    <row r="8" spans="3:8" x14ac:dyDescent="0.25">
      <c r="C8" s="19" t="str">
        <f>IF(Lang="Français","Trajectoire dans un plan par calcul pas à pas","Trajectory in a plane, step by step computation")</f>
        <v>Trajectoire dans un plan par calcul pas à pas</v>
      </c>
    </row>
    <row r="9" spans="3:8" x14ac:dyDescent="0.25">
      <c r="C9" s="19"/>
    </row>
    <row r="10" spans="3:8" x14ac:dyDescent="0.25">
      <c r="C10" s="20" t="str">
        <f>IF(Lang="Français","Documentation et équations :","Documentation and equations are aviable in french:")</f>
        <v>Documentation et équations :</v>
      </c>
    </row>
    <row r="11" spans="3:8" x14ac:dyDescent="0.25">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5">
      <c r="C12" t="str">
        <f>IF(Lang="Français","Néanmoins, les équations d'intégration du mouvement utilisées sont légèrement différentes !","")</f>
        <v>Néanmoins, les équations d'intégration du mouvement utilisées sont légèrement différentes !</v>
      </c>
    </row>
    <row r="13" spans="3:8" x14ac:dyDescent="0.25">
      <c r="C13" t="str">
        <f>IF(Lang="Français","Logiciels et dossier technique téléchargeables sur :","Softwares and french documentation can be downloaded at:")</f>
        <v>Logiciels et dossier technique téléchargeables sur :</v>
      </c>
      <c r="H13" s="25" t="s">
        <v>40</v>
      </c>
    </row>
    <row r="15" spans="3:8" x14ac:dyDescent="0.25">
      <c r="C15" s="20" t="str">
        <f>IF(Lang="Français","Pour les experts :","For experts:")</f>
        <v>Pour les experts :</v>
      </c>
    </row>
    <row r="16" spans="3:8" x14ac:dyDescent="0.25">
      <c r="C16" s="24"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5">
      <c r="C17" s="23" t="str">
        <f>IF(Lang="Français","et faire vos modifications personnelles (ajout de moteur...).","and do your personal modification (adding a motor...)")</f>
        <v>et faire vos modifications personnelles (ajout de moteur...).</v>
      </c>
    </row>
    <row r="18" spans="3:8" x14ac:dyDescent="0.25">
      <c r="C18" s="24" t="s">
        <v>421</v>
      </c>
    </row>
    <row r="19" spans="3:8" x14ac:dyDescent="0.25">
      <c r="C19" s="23"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5">
      <c r="C20" s="23" t="str">
        <f>IF(Lang="Français","Aucune Macro. Mise en forme conditionnelle, Noms de zone.","No macro. Conditionnal formating, named zones.")</f>
        <v>Aucune Macro. Mise en forme conditionnelle, Noms de zone.</v>
      </c>
    </row>
    <row r="21" spans="3:8" x14ac:dyDescent="0.25">
      <c r="C21" s="69"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5">
      <c r="C22" s="69" t="str">
        <f>IF(Lang="Français","Les unités sont réglés dans le Format de la cellule.","Units are set in cell number Format")</f>
        <v>Les unités sont réglés dans le Format de la cellule.</v>
      </c>
      <c r="H22" s="21" t="s">
        <v>38</v>
      </c>
    </row>
    <row r="23" spans="3:8" x14ac:dyDescent="0.25">
      <c r="C23" s="23" t="str">
        <f>IF(Lang="Français","Vous pouvez proposer vos améliorations en envoyant votre fichier à : ","Send all remarks and improvements proposals to:")</f>
        <v xml:space="preserve">Vous pouvez proposer vos améliorations en envoyant votre fichier à : </v>
      </c>
      <c r="H23" s="21"/>
    </row>
    <row r="25" spans="3:8" x14ac:dyDescent="0.25">
      <c r="C25" s="20" t="str">
        <f>IF(Lang="Français","Licence :","License:")</f>
        <v>Licence :</v>
      </c>
      <c r="D25" s="22"/>
    </row>
    <row r="26" spans="3:8" x14ac:dyDescent="0.25">
      <c r="C26" t="str">
        <f>IF(Lang="Français","Ce logiciel est placé sous la licence Creative Commons BY-SA","This software is placed under Creative Commons licence BY-SA")</f>
        <v>Ce logiciel est placé sous la licence Creative Commons BY-SA</v>
      </c>
      <c r="H26" s="90" t="s">
        <v>123</v>
      </c>
    </row>
    <row r="28" spans="3:8" x14ac:dyDescent="0.25">
      <c r="C28" s="20" t="str">
        <f>IF(Lang="Français","Compatibilité :","Compatibility:")</f>
        <v>Compatibilité :</v>
      </c>
    </row>
    <row r="29" spans="3:8" x14ac:dyDescent="0.25">
      <c r="C29" t="s">
        <v>153</v>
      </c>
    </row>
    <row r="30" spans="3:8" x14ac:dyDescent="0.25">
      <c r="C30" t="s">
        <v>302</v>
      </c>
    </row>
    <row r="31" spans="3:8" x14ac:dyDescent="0.25">
      <c r="C31" s="70" t="s">
        <v>111</v>
      </c>
    </row>
    <row r="33" spans="3:6" x14ac:dyDescent="0.25">
      <c r="C33" s="20" t="str">
        <f>IF(Lang="Français","Historique :","History:")</f>
        <v>Historique :</v>
      </c>
    </row>
    <row r="34" spans="3:6" x14ac:dyDescent="0.25">
      <c r="C34" t="s">
        <v>103</v>
      </c>
      <c r="D34" t="s">
        <v>43</v>
      </c>
      <c r="E34" s="68" t="s">
        <v>102</v>
      </c>
      <c r="F34" t="str">
        <f>IF(Lang="Français","Essais personnels, héritage d'une feuille de calcul de Vincent Girard, ESO","Personnel tests")</f>
        <v>Essais personnels, héritage d'une feuille de calcul de Vincent Girard, ESO</v>
      </c>
    </row>
    <row r="35" spans="3:6" x14ac:dyDescent="0.25">
      <c r="C35" t="s">
        <v>104</v>
      </c>
      <c r="D35" t="s">
        <v>43</v>
      </c>
      <c r="E35" s="22">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5">
      <c r="C36" t="s">
        <v>105</v>
      </c>
      <c r="D36" t="s">
        <v>43</v>
      </c>
      <c r="E36" s="22">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5">
      <c r="C37" t="s">
        <v>106</v>
      </c>
      <c r="D37" t="s">
        <v>43</v>
      </c>
      <c r="E37" s="22">
        <v>39694</v>
      </c>
      <c r="F37" t="str">
        <f>IF(Lang="Français","Mise en forme","Formatting")</f>
        <v>Mise en forme</v>
      </c>
    </row>
    <row r="38" spans="3:6" x14ac:dyDescent="0.25">
      <c r="C38" t="s">
        <v>107</v>
      </c>
      <c r="D38" t="s">
        <v>43</v>
      </c>
      <c r="E38" s="22">
        <v>39643</v>
      </c>
      <c r="F38" t="str">
        <f>IF(Lang="Français","Essais personnels, héritage d'une feuille de calcul de Félicien Roux, ESO","Personal tests")</f>
        <v>Essais personnels, héritage d'une feuille de calcul de Félicien Roux, ESO</v>
      </c>
    </row>
    <row r="39" spans="3:6" x14ac:dyDescent="0.25">
      <c r="C39" t="s">
        <v>108</v>
      </c>
      <c r="D39" t="s">
        <v>43</v>
      </c>
      <c r="E39" s="22">
        <v>39755</v>
      </c>
      <c r="F39" t="str">
        <f>IF(Lang="Français","Réécriture équations, traduction, érgonomie","Equations, traduction, ergonomy")</f>
        <v>Réécriture équations, traduction, érgonomie</v>
      </c>
    </row>
    <row r="40" spans="3:6" x14ac:dyDescent="0.25">
      <c r="C40" t="s">
        <v>109</v>
      </c>
      <c r="D40" t="s">
        <v>43</v>
      </c>
      <c r="E40" s="22">
        <v>39756</v>
      </c>
      <c r="F40" t="str">
        <f>IF(Lang="Français","Conditions Initiales pour vol 2e étage, 1ère publication","Initial Conditions, 1st publication")</f>
        <v>Conditions Initiales pour vol 2e étage, 1ère publication</v>
      </c>
    </row>
    <row r="41" spans="3:6" x14ac:dyDescent="0.25">
      <c r="C41" t="s">
        <v>110</v>
      </c>
      <c r="D41" t="s">
        <v>43</v>
      </c>
      <c r="E41" s="22">
        <v>40658</v>
      </c>
      <c r="F41" t="s">
        <v>53</v>
      </c>
    </row>
    <row r="42" spans="3:6" x14ac:dyDescent="0.25">
      <c r="C42" t="s">
        <v>180</v>
      </c>
      <c r="D42" t="s">
        <v>43</v>
      </c>
      <c r="E42" s="22">
        <v>40868</v>
      </c>
      <c r="F42" t="str">
        <f>IF(Lang="Français","Fusion Stabilito+Trajecto, mise en forme, Ctrl, RC, H2O, Abaco","Merge Stabilito+Trajecto, formatting, Ctrl, RC, H2O, Abaco")</f>
        <v>Fusion Stabilito+Trajecto, mise en forme, Ctrl, RC, H2O, Abaco</v>
      </c>
    </row>
    <row r="43" spans="3:6" x14ac:dyDescent="0.25">
      <c r="C43" t="s">
        <v>329</v>
      </c>
      <c r="D43" t="s">
        <v>43</v>
      </c>
      <c r="E43" s="22">
        <v>41194</v>
      </c>
      <c r="F43" t="s">
        <v>333</v>
      </c>
    </row>
    <row r="44" spans="3:6" x14ac:dyDescent="0.25">
      <c r="C44" t="s">
        <v>330</v>
      </c>
      <c r="D44" t="s">
        <v>43</v>
      </c>
      <c r="E44" s="22">
        <v>41329</v>
      </c>
      <c r="F44" t="s">
        <v>334</v>
      </c>
    </row>
    <row r="45" spans="3:6" x14ac:dyDescent="0.25">
      <c r="C45" t="s">
        <v>418</v>
      </c>
      <c r="D45" t="s">
        <v>397</v>
      </c>
      <c r="E45" s="22">
        <v>41947</v>
      </c>
      <c r="F45" t="s">
        <v>417</v>
      </c>
    </row>
    <row r="46" spans="3:6" x14ac:dyDescent="0.25">
      <c r="C46" t="s">
        <v>422</v>
      </c>
      <c r="D46" t="s">
        <v>397</v>
      </c>
      <c r="E46" s="22">
        <v>41965</v>
      </c>
      <c r="F46" t="s">
        <v>420</v>
      </c>
    </row>
    <row r="47" spans="3:6" x14ac:dyDescent="0.25">
      <c r="C47" t="s">
        <v>544</v>
      </c>
      <c r="D47" t="s">
        <v>397</v>
      </c>
      <c r="E47" s="22">
        <v>43048</v>
      </c>
      <c r="F47" t="s">
        <v>545</v>
      </c>
    </row>
    <row r="48" spans="3:6" x14ac:dyDescent="0.25">
      <c r="C48" t="s">
        <v>549</v>
      </c>
      <c r="D48" t="s">
        <v>397</v>
      </c>
      <c r="E48" s="22">
        <v>44160</v>
      </c>
      <c r="F48" t="s">
        <v>551</v>
      </c>
    </row>
    <row r="49" spans="3:6" x14ac:dyDescent="0.25">
      <c r="E49" s="22"/>
    </row>
    <row r="51" spans="3:6" x14ac:dyDescent="0.25">
      <c r="C51" s="20" t="str">
        <f>IF(Lang="Français","Paramètres de référence :","Reference parameters:")</f>
        <v>Paramètres de référence :</v>
      </c>
    </row>
    <row r="52" spans="3:6" x14ac:dyDescent="0.25">
      <c r="C52" s="84" t="str">
        <f>IF(Lang="Français","Gravité g :","Gravity g")</f>
        <v>Gravité g :</v>
      </c>
      <c r="E52" s="84">
        <v>9.81</v>
      </c>
      <c r="F52" s="84" t="s">
        <v>7</v>
      </c>
    </row>
    <row r="53" spans="3:6" x14ac:dyDescent="0.25">
      <c r="C53" s="84" t="str">
        <f>IF(Lang="Français","Masse volumique de l'air ρ :","Air density ρ")</f>
        <v>Masse volumique de l'air ρ :</v>
      </c>
      <c r="E53" s="85">
        <v>1.2250000000000001</v>
      </c>
      <c r="F53" s="84" t="s">
        <v>8</v>
      </c>
    </row>
    <row r="54" spans="3:6" x14ac:dyDescent="0.25">
      <c r="C54" s="69"/>
    </row>
    <row r="55" spans="3:6" x14ac:dyDescent="0.25">
      <c r="C55" s="69"/>
    </row>
    <row r="56" spans="3:6" x14ac:dyDescent="0.25">
      <c r="C56" s="69"/>
    </row>
    <row r="57" spans="3:6" x14ac:dyDescent="0.25">
      <c r="C57" s="69"/>
    </row>
    <row r="58" spans="3:6" x14ac:dyDescent="0.25">
      <c r="C58" s="69"/>
    </row>
    <row r="59" spans="3:6" x14ac:dyDescent="0.25">
      <c r="C59" s="69"/>
    </row>
  </sheetData>
  <sheetProtection password="C6AC"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topLeftCell="D1" zoomScaleNormal="100" workbookViewId="0">
      <selection activeCell="H4" sqref="H4"/>
    </sheetView>
  </sheetViews>
  <sheetFormatPr baseColWidth="10" defaultColWidth="11.6640625" defaultRowHeight="13.2" x14ac:dyDescent="0.25"/>
  <cols>
    <col min="1" max="2" width="2.21875" customWidth="1"/>
    <col min="3" max="3" width="12.6640625" customWidth="1"/>
    <col min="4" max="4" width="21" customWidth="1"/>
    <col min="7" max="7" width="26.6640625" customWidth="1"/>
    <col min="8" max="9" width="6.77734375" customWidth="1"/>
    <col min="10" max="10" width="10" customWidth="1"/>
    <col min="11" max="11" width="13" customWidth="1"/>
    <col min="12" max="12" width="21.21875" customWidth="1"/>
    <col min="14" max="14" width="2.21875" customWidth="1"/>
    <col min="18" max="19" width="16.21875" customWidth="1"/>
  </cols>
  <sheetData>
    <row r="1" spans="2:21" ht="13.8" thickBot="1" x14ac:dyDescent="0.3">
      <c r="O1" s="8"/>
      <c r="P1" s="499"/>
      <c r="Q1" s="500"/>
      <c r="R1" s="499"/>
      <c r="S1" s="499"/>
      <c r="T1" s="499"/>
      <c r="U1" s="499"/>
    </row>
    <row r="2" spans="2:21" ht="13.8" thickBot="1" x14ac:dyDescent="0.3">
      <c r="B2" s="93"/>
      <c r="C2" s="94"/>
      <c r="D2" s="94"/>
      <c r="E2" s="94"/>
      <c r="F2" s="94"/>
      <c r="G2" s="94"/>
      <c r="H2" s="94"/>
      <c r="I2" s="94"/>
      <c r="J2" s="94"/>
      <c r="K2" s="94"/>
      <c r="L2" s="94"/>
      <c r="M2" s="94"/>
      <c r="N2" s="95"/>
      <c r="O2" s="8"/>
      <c r="P2" s="499"/>
      <c r="Q2" s="500"/>
      <c r="R2" s="499"/>
      <c r="S2" s="499"/>
      <c r="T2" s="499"/>
      <c r="U2" s="499"/>
    </row>
    <row r="3" spans="2:21" ht="15.75" customHeight="1" thickBot="1" x14ac:dyDescent="0.3">
      <c r="B3" s="96"/>
      <c r="C3" s="81"/>
      <c r="D3" s="2" t="s">
        <v>431</v>
      </c>
      <c r="E3" s="81"/>
      <c r="F3" s="81"/>
      <c r="G3" s="81"/>
      <c r="H3" s="81"/>
      <c r="I3" s="81"/>
      <c r="J3" s="81"/>
      <c r="K3" s="81"/>
      <c r="L3" s="81"/>
      <c r="M3" s="81"/>
      <c r="N3" s="97"/>
      <c r="O3" s="8"/>
      <c r="P3" s="501" t="s">
        <v>342</v>
      </c>
      <c r="Q3" s="511">
        <f>Long_ogive</f>
        <v>250</v>
      </c>
      <c r="R3" s="499"/>
      <c r="S3" s="499"/>
      <c r="T3" s="499"/>
      <c r="U3" s="499"/>
    </row>
    <row r="4" spans="2:21" ht="15.75" customHeight="1" x14ac:dyDescent="0.25">
      <c r="B4" s="96"/>
      <c r="C4" s="81"/>
      <c r="D4" s="2"/>
      <c r="E4" s="81"/>
      <c r="F4" s="81"/>
      <c r="G4" s="81"/>
      <c r="H4" s="81"/>
      <c r="I4" s="81"/>
      <c r="J4" s="81"/>
      <c r="K4" s="81"/>
      <c r="L4" s="81"/>
      <c r="M4" s="81"/>
      <c r="N4" s="97"/>
      <c r="O4" s="8"/>
      <c r="P4" s="501"/>
      <c r="Q4" s="505"/>
      <c r="R4" s="499"/>
      <c r="S4" s="499"/>
      <c r="T4" s="499"/>
      <c r="U4" s="499"/>
    </row>
    <row r="5" spans="2:21" ht="15.75" customHeight="1" x14ac:dyDescent="0.25">
      <c r="B5" s="96"/>
      <c r="C5" s="81"/>
      <c r="D5" s="644" t="s">
        <v>464</v>
      </c>
      <c r="E5" s="81" t="str">
        <f>Propu</f>
        <v>Barasinga (Pro54-5G C)</v>
      </c>
      <c r="F5" s="81"/>
      <c r="G5" s="81" t="s">
        <v>461</v>
      </c>
      <c r="H5" s="81">
        <f>MasseSans</f>
        <v>8</v>
      </c>
      <c r="I5" s="81"/>
      <c r="J5" s="81"/>
      <c r="K5" s="81"/>
      <c r="L5" s="81"/>
      <c r="M5" s="81"/>
      <c r="N5" s="97"/>
      <c r="O5" s="8"/>
      <c r="P5" s="501"/>
      <c r="Q5" s="505"/>
      <c r="R5" s="499"/>
      <c r="S5" s="499"/>
      <c r="T5" s="499"/>
      <c r="U5" s="499"/>
    </row>
    <row r="6" spans="2:21" x14ac:dyDescent="0.25">
      <c r="B6" s="96"/>
      <c r="D6" s="81" t="s">
        <v>457</v>
      </c>
      <c r="E6" s="2" t="str">
        <f>Trajecto!H32</f>
        <v>Brun/Orange…</v>
      </c>
      <c r="G6" s="81" t="s">
        <v>462</v>
      </c>
      <c r="H6" s="81">
        <f>D_ref</f>
        <v>100</v>
      </c>
      <c r="I6" s="81"/>
      <c r="J6" s="81"/>
      <c r="K6" s="81"/>
      <c r="L6" s="81"/>
      <c r="M6" s="81"/>
      <c r="N6" s="97"/>
      <c r="O6" s="8"/>
      <c r="P6" s="501"/>
      <c r="Q6" s="505"/>
      <c r="R6" s="499"/>
      <c r="S6" s="499"/>
      <c r="T6" s="499"/>
      <c r="U6" s="499"/>
    </row>
    <row r="7" spans="2:21" x14ac:dyDescent="0.25">
      <c r="B7" s="96"/>
      <c r="D7" s="81" t="s">
        <v>459</v>
      </c>
      <c r="E7" s="2" t="str">
        <f>Trajecto!H33</f>
        <v>Rouge…</v>
      </c>
      <c r="G7" t="s">
        <v>5</v>
      </c>
      <c r="H7">
        <f>Cx</f>
        <v>0.5</v>
      </c>
      <c r="I7" s="81"/>
      <c r="J7" s="81"/>
      <c r="K7" s="81"/>
      <c r="L7" s="81"/>
      <c r="M7" s="81"/>
      <c r="N7" s="97"/>
      <c r="O7" s="8"/>
      <c r="P7" s="501"/>
      <c r="Q7" s="505"/>
      <c r="R7" s="499"/>
      <c r="S7" s="499"/>
      <c r="T7" s="499"/>
      <c r="U7" s="499"/>
    </row>
    <row r="8" spans="2:21" x14ac:dyDescent="0.25">
      <c r="B8" s="96"/>
      <c r="D8" s="81" t="s">
        <v>460</v>
      </c>
      <c r="E8" s="2">
        <f>S_para</f>
        <v>0.26020500000000002</v>
      </c>
      <c r="G8" s="81" t="s">
        <v>463</v>
      </c>
      <c r="H8" s="81">
        <f>L_rampe</f>
        <v>4</v>
      </c>
      <c r="I8" s="81"/>
      <c r="J8" s="81"/>
      <c r="K8" s="81"/>
      <c r="L8" s="81"/>
      <c r="M8" s="81"/>
      <c r="N8" s="97"/>
      <c r="O8" s="8"/>
      <c r="P8" s="501"/>
      <c r="Q8" s="505"/>
      <c r="R8" s="499"/>
      <c r="S8" s="499"/>
      <c r="T8" s="499"/>
      <c r="U8" s="499"/>
    </row>
    <row r="9" spans="2:21" x14ac:dyDescent="0.25">
      <c r="B9" s="96"/>
      <c r="D9" s="24" t="s">
        <v>458</v>
      </c>
      <c r="E9" s="2"/>
      <c r="G9" s="24" t="s">
        <v>147</v>
      </c>
      <c r="H9" s="643" t="str">
        <f>Forme_ogive</f>
        <v>Ogivale (pointue)</v>
      </c>
      <c r="I9" s="81"/>
      <c r="J9" s="81"/>
      <c r="K9" s="81"/>
      <c r="L9" s="81"/>
      <c r="M9" s="81"/>
      <c r="N9" s="97"/>
      <c r="O9" s="8"/>
      <c r="P9" s="501"/>
      <c r="Q9" s="505"/>
      <c r="R9" s="499"/>
      <c r="S9" s="499"/>
      <c r="T9" s="499"/>
      <c r="U9" s="499"/>
    </row>
    <row r="10" spans="2:21" x14ac:dyDescent="0.25">
      <c r="B10" s="96"/>
      <c r="C10" s="81"/>
      <c r="D10" s="81"/>
      <c r="E10" s="81"/>
      <c r="F10" s="4"/>
      <c r="G10" s="492"/>
      <c r="H10" s="81"/>
      <c r="I10" s="81"/>
      <c r="J10" s="81"/>
      <c r="K10" s="81"/>
      <c r="L10" s="81"/>
      <c r="M10" s="81"/>
      <c r="N10" s="97"/>
      <c r="O10" s="618"/>
      <c r="P10" s="499"/>
      <c r="Q10" s="505"/>
      <c r="R10" s="499"/>
      <c r="S10" s="499"/>
      <c r="T10" s="499"/>
      <c r="U10" s="499"/>
    </row>
    <row r="11" spans="2:21" ht="13.8" thickBot="1" x14ac:dyDescent="0.3">
      <c r="B11" s="96"/>
      <c r="C11" s="608"/>
      <c r="D11" s="323" t="s">
        <v>456</v>
      </c>
      <c r="E11" s="287">
        <f>MasseSans</f>
        <v>8</v>
      </c>
      <c r="F11" s="610" t="s">
        <v>124</v>
      </c>
      <c r="G11" s="610" t="s">
        <v>126</v>
      </c>
      <c r="H11" s="787">
        <f ca="1">Vsortie_de_rampe</f>
        <v>25.035790648174238</v>
      </c>
      <c r="I11" s="788"/>
      <c r="J11" s="98"/>
      <c r="K11" s="81"/>
      <c r="L11" s="81"/>
      <c r="M11" s="81"/>
      <c r="N11" s="97"/>
      <c r="O11" s="81"/>
      <c r="P11" s="499"/>
      <c r="Q11" s="505"/>
      <c r="R11" s="499"/>
      <c r="S11" s="499"/>
      <c r="T11" s="499"/>
      <c r="U11" s="510" t="str">
        <f>IF(RIGHT(Nb_diam,1)=",", "", X_j)</f>
        <v/>
      </c>
    </row>
    <row r="12" spans="2:21" ht="13.8" thickBot="1" x14ac:dyDescent="0.3">
      <c r="B12" s="96"/>
      <c r="C12" s="608"/>
      <c r="D12" s="324"/>
      <c r="E12" s="288"/>
      <c r="F12" s="492" t="s">
        <v>124</v>
      </c>
      <c r="G12" s="492" t="s">
        <v>127</v>
      </c>
      <c r="H12" s="789">
        <f>Finesse</f>
        <v>18</v>
      </c>
      <c r="I12" s="790"/>
      <c r="J12" s="98"/>
      <c r="K12" s="81"/>
      <c r="L12" s="81"/>
      <c r="M12" s="81"/>
      <c r="N12" s="97"/>
      <c r="O12" s="8"/>
      <c r="P12" s="501" t="s">
        <v>343</v>
      </c>
      <c r="Q12" s="511">
        <f>D_og</f>
        <v>100</v>
      </c>
      <c r="R12" s="499"/>
      <c r="S12" s="499"/>
      <c r="T12" s="499"/>
      <c r="U12" s="505"/>
    </row>
    <row r="13" spans="2:21" x14ac:dyDescent="0.25">
      <c r="B13" s="96"/>
      <c r="C13" s="608"/>
      <c r="D13" s="324" t="s">
        <v>5</v>
      </c>
      <c r="E13" s="288">
        <f>Cx</f>
        <v>0.5</v>
      </c>
      <c r="F13" s="492" t="s">
        <v>124</v>
      </c>
      <c r="G13" s="492" t="s">
        <v>435</v>
      </c>
      <c r="H13" s="789">
        <f>Cn</f>
        <v>19.135014339693754</v>
      </c>
      <c r="I13" s="790"/>
      <c r="J13" s="98"/>
      <c r="K13" s="81"/>
      <c r="L13" s="81"/>
      <c r="M13" s="81"/>
      <c r="N13" s="97"/>
      <c r="O13" s="8"/>
      <c r="P13" s="499"/>
      <c r="Q13" s="505"/>
      <c r="R13" s="499"/>
      <c r="S13" s="499"/>
      <c r="T13" s="499"/>
      <c r="U13" s="510" t="str">
        <f>IF(RIGHT(Nb_diam,1)=",", "", X_r)</f>
        <v/>
      </c>
    </row>
    <row r="14" spans="2:21" x14ac:dyDescent="0.25">
      <c r="B14" s="96"/>
      <c r="C14" s="555"/>
      <c r="D14" s="324" t="s">
        <v>144</v>
      </c>
      <c r="E14" s="288">
        <f>L_rampe</f>
        <v>4</v>
      </c>
      <c r="F14" s="492" t="s">
        <v>124</v>
      </c>
      <c r="G14" s="492" t="s">
        <v>128</v>
      </c>
      <c r="H14" s="304">
        <f ca="1">MS_min</f>
        <v>3.6252549754626102</v>
      </c>
      <c r="I14" s="612">
        <f ca="1">MS_max</f>
        <v>4.0884248305201298</v>
      </c>
      <c r="J14" s="98"/>
      <c r="K14" s="98"/>
      <c r="L14" s="81"/>
      <c r="M14" s="81"/>
      <c r="N14" s="97"/>
      <c r="O14" s="81"/>
      <c r="P14" s="499"/>
      <c r="Q14" s="505"/>
      <c r="R14" s="499"/>
      <c r="S14" s="499"/>
      <c r="T14" s="499"/>
      <c r="U14" s="505"/>
    </row>
    <row r="15" spans="2:21" x14ac:dyDescent="0.25">
      <c r="B15" s="96"/>
      <c r="C15" s="555"/>
      <c r="D15" s="324" t="s">
        <v>145</v>
      </c>
      <c r="E15" s="288">
        <f>ep_ail</f>
        <v>2</v>
      </c>
      <c r="F15" s="492" t="s">
        <v>124</v>
      </c>
      <c r="G15" s="492" t="s">
        <v>125</v>
      </c>
      <c r="H15" s="304">
        <f ca="1">MS_Cn_min</f>
        <v>69.369305940523176</v>
      </c>
      <c r="I15" s="612">
        <f ca="1">MS_Cn_max</f>
        <v>78.232067758762696</v>
      </c>
      <c r="J15" s="98"/>
      <c r="K15" s="98"/>
      <c r="L15" s="81"/>
      <c r="M15" s="81"/>
      <c r="N15" s="97"/>
      <c r="O15" s="81"/>
      <c r="P15" s="499"/>
      <c r="Q15" s="505"/>
      <c r="R15" s="499"/>
      <c r="S15" s="499"/>
      <c r="T15" s="499"/>
    </row>
    <row r="16" spans="2:21" x14ac:dyDescent="0.25">
      <c r="B16" s="96"/>
      <c r="C16" s="555"/>
      <c r="D16" s="324" t="s">
        <v>146</v>
      </c>
      <c r="E16" s="288">
        <f>Q_ail</f>
        <v>4</v>
      </c>
      <c r="F16" s="492" t="s">
        <v>129</v>
      </c>
      <c r="G16" s="492" t="s">
        <v>130</v>
      </c>
      <c r="H16" s="304">
        <f ca="1">V_para</f>
        <v>23.077135165697658</v>
      </c>
      <c r="I16" s="611">
        <f>V_satellite</f>
        <v>12.655562623057198</v>
      </c>
      <c r="J16" s="98"/>
      <c r="K16" s="81"/>
      <c r="L16" s="81"/>
      <c r="M16" s="81"/>
      <c r="N16" s="97"/>
      <c r="O16" s="81"/>
      <c r="P16" s="499"/>
      <c r="Q16" s="505"/>
      <c r="R16" s="499"/>
      <c r="S16" s="499"/>
      <c r="T16" s="499"/>
      <c r="U16" s="510" t="str">
        <f>IF(RIGHT(Nb_diam,1)=",", "", l_j)</f>
        <v/>
      </c>
    </row>
    <row r="17" spans="2:21" x14ac:dyDescent="0.25">
      <c r="B17" s="96"/>
      <c r="C17" s="555"/>
      <c r="D17" s="324" t="s">
        <v>147</v>
      </c>
      <c r="E17" s="320" t="str">
        <f>Forme_ogive</f>
        <v>Ogivale (pointue)</v>
      </c>
      <c r="F17" s="492" t="s">
        <v>131</v>
      </c>
      <c r="G17" s="492" t="s">
        <v>132</v>
      </c>
      <c r="H17" s="789">
        <f>T_para</f>
        <v>16</v>
      </c>
      <c r="I17" s="790"/>
      <c r="J17" s="302"/>
      <c r="K17" s="81"/>
      <c r="L17" s="81"/>
      <c r="M17" s="81"/>
      <c r="N17" s="97"/>
      <c r="O17" s="81"/>
      <c r="P17" s="502" t="s">
        <v>344</v>
      </c>
      <c r="Q17" s="510" t="str">
        <f>IF(RIGHT(Nb_diam,1)=",", "", D2j)</f>
        <v/>
      </c>
      <c r="R17" s="499"/>
      <c r="S17" s="499"/>
      <c r="T17" s="499"/>
      <c r="U17" s="505"/>
    </row>
    <row r="18" spans="2:21" x14ac:dyDescent="0.25">
      <c r="B18" s="96"/>
      <c r="C18" s="555"/>
      <c r="D18" s="324" t="s">
        <v>149</v>
      </c>
      <c r="E18" s="288">
        <f ca="1">XpropuRef-Long_propu</f>
        <v>1312</v>
      </c>
      <c r="F18" s="608" t="s">
        <v>131</v>
      </c>
      <c r="G18" s="608" t="s">
        <v>429</v>
      </c>
      <c r="H18" s="791">
        <f ca="1">T_para-Combustion-Depotage</f>
        <v>16</v>
      </c>
      <c r="I18" s="792"/>
      <c r="J18" s="81"/>
      <c r="K18" s="81"/>
      <c r="L18" s="81"/>
      <c r="M18" s="81"/>
      <c r="N18" s="97"/>
      <c r="O18" s="81"/>
      <c r="P18" s="499"/>
      <c r="Q18" s="505"/>
      <c r="R18" s="499"/>
      <c r="S18" s="499"/>
    </row>
    <row r="19" spans="2:21" x14ac:dyDescent="0.25">
      <c r="B19" s="96"/>
      <c r="C19" s="642"/>
      <c r="D19" s="317"/>
      <c r="E19" s="319"/>
      <c r="F19" s="615" t="s">
        <v>133</v>
      </c>
      <c r="G19" s="613" t="s">
        <v>428</v>
      </c>
      <c r="H19" s="793">
        <f ca="1">Portee_balistique</f>
        <v>1009.0500868209435</v>
      </c>
      <c r="I19" s="794"/>
      <c r="J19" s="81"/>
      <c r="K19" s="81"/>
      <c r="L19" s="81"/>
      <c r="M19" s="81"/>
      <c r="N19" s="97"/>
      <c r="O19" s="81"/>
      <c r="P19" s="499"/>
      <c r="Q19" s="505"/>
      <c r="R19" s="499"/>
      <c r="S19" s="499"/>
      <c r="T19" s="499"/>
    </row>
    <row r="20" spans="2:21" x14ac:dyDescent="0.25">
      <c r="B20" s="96"/>
      <c r="C20" s="555"/>
      <c r="D20" s="8"/>
      <c r="E20" s="8"/>
      <c r="H20" s="614"/>
      <c r="I20" s="614"/>
      <c r="J20" s="81"/>
      <c r="K20" s="81"/>
      <c r="L20" s="81"/>
      <c r="M20" s="81"/>
      <c r="N20" s="97"/>
      <c r="O20" s="81"/>
      <c r="P20" s="499"/>
      <c r="Q20" s="505"/>
      <c r="R20" s="499"/>
      <c r="S20" s="499"/>
      <c r="T20" s="499"/>
      <c r="U20" s="510" t="str">
        <f>IF(RIGHT(Nb_diam,1)=",", "", l_r)</f>
        <v/>
      </c>
    </row>
    <row r="21" spans="2:21" x14ac:dyDescent="0.25">
      <c r="B21" s="96"/>
      <c r="C21" s="555"/>
      <c r="D21" s="8"/>
      <c r="E21" s="311"/>
      <c r="F21" s="4"/>
      <c r="G21" s="492"/>
      <c r="H21" s="614"/>
      <c r="I21" s="614"/>
      <c r="J21" s="81"/>
      <c r="K21" s="81"/>
      <c r="L21" s="81"/>
      <c r="M21" s="81"/>
      <c r="N21" s="97"/>
      <c r="O21" s="620"/>
      <c r="P21" s="505"/>
      <c r="Q21" s="500"/>
      <c r="R21" s="499"/>
      <c r="S21" s="499"/>
      <c r="T21" s="621"/>
      <c r="U21" s="505"/>
    </row>
    <row r="22" spans="2:21" x14ac:dyDescent="0.25">
      <c r="B22" s="96"/>
      <c r="C22" s="633" t="s">
        <v>455</v>
      </c>
      <c r="D22" s="630" t="s">
        <v>439</v>
      </c>
      <c r="E22" s="631"/>
      <c r="F22" s="632" t="s">
        <v>444</v>
      </c>
      <c r="G22" s="633" t="s">
        <v>449</v>
      </c>
      <c r="I22" s="634"/>
      <c r="J22" s="641" t="s">
        <v>157</v>
      </c>
      <c r="K22" s="630" t="s">
        <v>158</v>
      </c>
      <c r="N22" s="97"/>
      <c r="O22" s="620"/>
      <c r="P22" s="505"/>
      <c r="Q22" s="500"/>
      <c r="R22" s="499"/>
      <c r="S22" s="499"/>
      <c r="T22" s="621"/>
      <c r="U22" s="505"/>
    </row>
    <row r="23" spans="2:21" x14ac:dyDescent="0.25">
      <c r="B23" s="96"/>
      <c r="C23" s="633" t="s">
        <v>454</v>
      </c>
      <c r="D23" s="631">
        <f>XcgSans</f>
        <v>1100</v>
      </c>
      <c r="E23" s="631" t="s">
        <v>39</v>
      </c>
      <c r="F23" s="636">
        <f>m_ail</f>
        <v>220</v>
      </c>
      <c r="G23" s="637">
        <f>m_can</f>
        <v>70</v>
      </c>
      <c r="I23" s="634" t="s">
        <v>450</v>
      </c>
      <c r="J23" s="638">
        <f>l_j</f>
        <v>50</v>
      </c>
      <c r="K23" s="635">
        <f>l_r</f>
        <v>50</v>
      </c>
      <c r="N23" s="97"/>
      <c r="O23" s="620"/>
      <c r="P23" s="505"/>
      <c r="Q23" s="500"/>
      <c r="R23" s="499"/>
      <c r="S23" s="499"/>
      <c r="T23" s="621"/>
      <c r="U23" s="505"/>
    </row>
    <row r="24" spans="2:21" x14ac:dyDescent="0.25">
      <c r="B24" s="96"/>
      <c r="C24" s="633" t="s">
        <v>442</v>
      </c>
      <c r="D24" s="635">
        <f>Long_tot</f>
        <v>1800</v>
      </c>
      <c r="E24" s="631" t="s">
        <v>445</v>
      </c>
      <c r="F24" s="636">
        <f>n_ail</f>
        <v>100</v>
      </c>
      <c r="G24" s="637">
        <f>n_can</f>
        <v>10</v>
      </c>
      <c r="I24" s="634" t="s">
        <v>451</v>
      </c>
      <c r="J24" s="638">
        <f>D1j</f>
        <v>100</v>
      </c>
      <c r="K24" s="635">
        <f>D1r</f>
        <v>80</v>
      </c>
      <c r="N24" s="97"/>
      <c r="O24" s="620"/>
      <c r="P24" s="505"/>
      <c r="Q24" s="500"/>
      <c r="R24" s="499"/>
      <c r="S24" s="499"/>
      <c r="T24" s="621"/>
      <c r="U24" s="505"/>
    </row>
    <row r="25" spans="2:21" x14ac:dyDescent="0.25">
      <c r="B25" s="96"/>
      <c r="C25" s="633" t="s">
        <v>443</v>
      </c>
      <c r="D25" s="635">
        <f>XpropuRef</f>
        <v>1800</v>
      </c>
      <c r="E25" s="631" t="s">
        <v>446</v>
      </c>
      <c r="F25" s="636">
        <f>p_ail</f>
        <v>200</v>
      </c>
      <c r="G25" s="637">
        <f>p_can</f>
        <v>40</v>
      </c>
      <c r="I25" s="634" t="s">
        <v>452</v>
      </c>
      <c r="J25" s="638">
        <f>D2j</f>
        <v>80</v>
      </c>
      <c r="K25" s="635">
        <f>D2r</f>
        <v>100</v>
      </c>
      <c r="N25" s="97"/>
      <c r="O25" s="620"/>
      <c r="P25" s="505"/>
      <c r="Q25" s="500"/>
      <c r="R25" s="499"/>
      <c r="S25" s="499"/>
      <c r="T25" s="621"/>
      <c r="U25" s="505"/>
    </row>
    <row r="26" spans="2:21" x14ac:dyDescent="0.25">
      <c r="B26" s="96"/>
      <c r="C26" s="633" t="s">
        <v>440</v>
      </c>
      <c r="D26" s="635">
        <f>D_ref</f>
        <v>100</v>
      </c>
      <c r="E26" s="631" t="s">
        <v>447</v>
      </c>
      <c r="F26" s="636">
        <f>E_ail</f>
        <v>150</v>
      </c>
      <c r="G26" s="637">
        <f>E_can</f>
        <v>50</v>
      </c>
      <c r="I26" s="634" t="s">
        <v>453</v>
      </c>
      <c r="J26" s="638">
        <f>X_j</f>
        <v>300</v>
      </c>
      <c r="K26" s="635">
        <f>X_r</f>
        <v>500</v>
      </c>
      <c r="N26" s="97"/>
      <c r="O26" s="620"/>
      <c r="P26" s="505"/>
      <c r="Q26" s="500"/>
      <c r="R26" s="499"/>
      <c r="S26" s="499"/>
      <c r="T26" s="621"/>
      <c r="U26" s="505"/>
    </row>
    <row r="27" spans="2:21" x14ac:dyDescent="0.25">
      <c r="B27" s="96"/>
      <c r="C27" s="633" t="s">
        <v>441</v>
      </c>
      <c r="D27" s="635">
        <f>Long_ogive</f>
        <v>250</v>
      </c>
      <c r="E27" s="631" t="s">
        <v>448</v>
      </c>
      <c r="F27" s="636">
        <f>X_ail</f>
        <v>1800</v>
      </c>
      <c r="G27" s="637">
        <f>X_can</f>
        <v>700</v>
      </c>
      <c r="H27" s="614"/>
      <c r="I27" s="639"/>
      <c r="J27" s="640"/>
      <c r="N27" s="97"/>
      <c r="O27" s="620"/>
      <c r="P27" s="505"/>
      <c r="Q27" s="500"/>
      <c r="R27" s="499"/>
      <c r="S27" s="499"/>
      <c r="T27" s="621"/>
      <c r="U27" s="505"/>
    </row>
    <row r="28" spans="2:21" ht="13.8" thickBot="1" x14ac:dyDescent="0.3">
      <c r="B28" s="96"/>
      <c r="C28" s="81"/>
      <c r="D28" s="81"/>
      <c r="E28" s="124"/>
      <c r="F28" s="81"/>
      <c r="G28" s="81"/>
      <c r="H28" s="81"/>
      <c r="I28" s="81"/>
      <c r="J28" s="81"/>
      <c r="K28" s="81"/>
      <c r="L28" s="81"/>
      <c r="M28" s="81"/>
      <c r="N28" s="97"/>
      <c r="O28" s="2"/>
      <c r="P28" s="8"/>
      <c r="Q28" s="2"/>
      <c r="R28" s="499"/>
      <c r="S28" s="499"/>
      <c r="T28" s="499"/>
      <c r="U28" s="505"/>
    </row>
    <row r="29" spans="2:21" ht="13.8" thickBot="1" x14ac:dyDescent="0.3">
      <c r="B29" s="96"/>
      <c r="C29" s="782" t="s">
        <v>142</v>
      </c>
      <c r="D29" s="782" t="s">
        <v>134</v>
      </c>
      <c r="E29" s="782" t="s">
        <v>135</v>
      </c>
      <c r="F29" s="782"/>
      <c r="G29" s="782"/>
      <c r="H29" s="783" t="s">
        <v>136</v>
      </c>
      <c r="I29" s="783"/>
      <c r="J29" s="783"/>
      <c r="K29" s="783"/>
      <c r="L29" s="782" t="s">
        <v>137</v>
      </c>
      <c r="M29" s="782" t="s">
        <v>138</v>
      </c>
      <c r="N29" s="97"/>
      <c r="O29" s="620" t="s">
        <v>432</v>
      </c>
      <c r="P29" s="511">
        <f>n_ail</f>
        <v>100</v>
      </c>
      <c r="Q29" s="2"/>
      <c r="R29" s="499"/>
      <c r="S29" s="499"/>
      <c r="T29" s="499"/>
      <c r="U29" s="609" t="s">
        <v>436</v>
      </c>
    </row>
    <row r="30" spans="2:21" ht="13.8" thickBot="1" x14ac:dyDescent="0.3">
      <c r="B30" s="96"/>
      <c r="C30" s="782"/>
      <c r="D30" s="782"/>
      <c r="E30" s="782"/>
      <c r="F30" s="782"/>
      <c r="G30" s="782"/>
      <c r="H30" s="783" t="s">
        <v>139</v>
      </c>
      <c r="I30" s="783"/>
      <c r="J30" s="91" t="s">
        <v>140</v>
      </c>
      <c r="K30" s="92" t="s">
        <v>141</v>
      </c>
      <c r="L30" s="782"/>
      <c r="M30" s="782"/>
      <c r="N30" s="97"/>
      <c r="P30" s="512"/>
      <c r="R30" s="499"/>
      <c r="S30" s="499"/>
      <c r="T30" s="619" t="s">
        <v>434</v>
      </c>
      <c r="U30" s="625">
        <f>[0]!p_can</f>
        <v>40</v>
      </c>
    </row>
    <row r="31" spans="2:21" ht="13.8" thickBot="1" x14ac:dyDescent="0.3">
      <c r="B31" s="96"/>
      <c r="C31" s="107">
        <f>Beta_rampe</f>
        <v>80</v>
      </c>
      <c r="D31" s="108">
        <f ca="1">Portee_balistique</f>
        <v>1009.0500868209435</v>
      </c>
      <c r="E31" s="781">
        <f ca="1">T_para+Dt_para</f>
        <v>76.991087870658006</v>
      </c>
      <c r="F31" s="781"/>
      <c r="G31" s="781"/>
      <c r="H31" s="784">
        <f ca="1">Altitude_culmi</f>
        <v>1415.3356551860206</v>
      </c>
      <c r="I31" s="784"/>
      <c r="J31" s="109">
        <f ca="1">Temps_culmi</f>
        <v>17.199999999999932</v>
      </c>
      <c r="K31" s="110">
        <f ca="1">Vit_culmi</f>
        <v>29.647815193966849</v>
      </c>
      <c r="L31" s="108">
        <f ca="1">Acc_max</f>
        <v>82.582874146450379</v>
      </c>
      <c r="M31" s="110">
        <f ca="1">Vit_max</f>
        <v>176.29977576665917</v>
      </c>
      <c r="N31" s="97"/>
      <c r="O31" s="620" t="s">
        <v>438</v>
      </c>
      <c r="P31" s="511">
        <f>ep_ail</f>
        <v>2</v>
      </c>
      <c r="Q31" s="2"/>
      <c r="R31" s="499"/>
      <c r="S31" s="499"/>
      <c r="T31" s="623" t="s">
        <v>346</v>
      </c>
      <c r="U31" s="625">
        <f>[0]!m_can</f>
        <v>70</v>
      </c>
    </row>
    <row r="32" spans="2:21" ht="13.8" thickBot="1" x14ac:dyDescent="0.3">
      <c r="B32" s="96"/>
      <c r="C32" s="616"/>
      <c r="D32" s="307"/>
      <c r="E32" s="304"/>
      <c r="F32" s="304"/>
      <c r="G32" s="304"/>
      <c r="H32" s="617"/>
      <c r="I32" s="617"/>
      <c r="J32" s="304"/>
      <c r="K32" s="306"/>
      <c r="L32" s="307"/>
      <c r="M32" s="306"/>
      <c r="N32" s="97"/>
      <c r="O32" s="620" t="s">
        <v>437</v>
      </c>
      <c r="P32" s="622">
        <f>Q_ail</f>
        <v>4</v>
      </c>
      <c r="Q32" s="2"/>
      <c r="R32" s="499"/>
      <c r="S32" s="499"/>
      <c r="T32" s="623" t="s">
        <v>432</v>
      </c>
      <c r="U32" s="625">
        <f>[0]!n_can</f>
        <v>10</v>
      </c>
    </row>
    <row r="33" spans="2:21" ht="13.8" thickBot="1" x14ac:dyDescent="0.3">
      <c r="B33" s="96"/>
      <c r="C33" s="81"/>
      <c r="D33" s="103"/>
      <c r="E33" s="104"/>
      <c r="F33" s="104"/>
      <c r="G33" s="104"/>
      <c r="H33" s="105"/>
      <c r="I33" s="105"/>
      <c r="J33" s="104"/>
      <c r="K33" s="106"/>
      <c r="L33" s="103"/>
      <c r="M33" s="106"/>
      <c r="N33" s="97"/>
      <c r="O33" s="2"/>
      <c r="Q33" s="2"/>
      <c r="R33" s="499"/>
      <c r="S33" s="499"/>
      <c r="T33" s="619" t="s">
        <v>433</v>
      </c>
      <c r="U33" s="625">
        <f>[0]!E_can</f>
        <v>50</v>
      </c>
    </row>
    <row r="34" spans="2:21" ht="13.8" thickBot="1" x14ac:dyDescent="0.3">
      <c r="B34" s="99"/>
      <c r="C34" s="102"/>
      <c r="D34" s="100"/>
      <c r="E34" s="100"/>
      <c r="F34" s="100"/>
      <c r="G34" s="100"/>
      <c r="H34" s="100"/>
      <c r="I34" s="100"/>
      <c r="J34" s="100"/>
      <c r="K34" s="100"/>
      <c r="L34" s="100"/>
      <c r="M34" s="100"/>
      <c r="N34" s="101"/>
      <c r="O34" s="2"/>
      <c r="P34" s="501" t="s">
        <v>433</v>
      </c>
      <c r="Q34" s="511">
        <f>E_ail</f>
        <v>150</v>
      </c>
      <c r="T34" s="627" t="s">
        <v>438</v>
      </c>
      <c r="U34" s="625">
        <f>[0]!ep_can</f>
        <v>2</v>
      </c>
    </row>
    <row r="35" spans="2:21" x14ac:dyDescent="0.25">
      <c r="B35" s="81"/>
      <c r="C35" s="81"/>
      <c r="D35" s="23"/>
      <c r="E35" s="23"/>
      <c r="F35" s="23"/>
      <c r="G35" s="23"/>
      <c r="H35" s="23"/>
      <c r="I35" s="23"/>
      <c r="J35" s="23"/>
      <c r="K35" s="23"/>
      <c r="L35" s="23"/>
      <c r="M35" s="23"/>
      <c r="N35" s="81"/>
      <c r="O35" s="2"/>
      <c r="P35" s="8"/>
      <c r="Q35" s="8"/>
      <c r="R35" s="81"/>
      <c r="S35" s="81"/>
      <c r="T35" s="624" t="s">
        <v>437</v>
      </c>
      <c r="U35" s="626">
        <f>[0]!Q_can</f>
        <v>4</v>
      </c>
    </row>
    <row r="36" spans="2:21" ht="13.8" thickBot="1" x14ac:dyDescent="0.3">
      <c r="T36" s="2"/>
      <c r="U36" s="512"/>
    </row>
    <row r="37" spans="2:21" x14ac:dyDescent="0.25">
      <c r="B37" s="93"/>
      <c r="C37" s="94"/>
      <c r="D37" s="94"/>
      <c r="E37" s="94"/>
      <c r="F37" s="94"/>
      <c r="G37" s="94"/>
      <c r="H37" s="94"/>
      <c r="I37" s="94"/>
      <c r="J37" s="94"/>
      <c r="K37" s="94"/>
      <c r="L37" s="94"/>
      <c r="M37" s="94"/>
      <c r="N37" s="95"/>
      <c r="T37" s="2"/>
    </row>
    <row r="38" spans="2:21" x14ac:dyDescent="0.25">
      <c r="B38" s="96"/>
      <c r="C38" s="81"/>
      <c r="D38" s="2" t="s">
        <v>196</v>
      </c>
      <c r="E38" s="81"/>
      <c r="F38" s="81"/>
      <c r="G38" s="81"/>
      <c r="H38" s="81"/>
      <c r="I38" s="81"/>
      <c r="J38" s="81"/>
      <c r="K38" s="81"/>
      <c r="L38" s="81"/>
      <c r="M38" s="81"/>
      <c r="N38" s="97"/>
    </row>
    <row r="39" spans="2:21" x14ac:dyDescent="0.25">
      <c r="B39" s="96"/>
      <c r="C39" s="81"/>
      <c r="D39" s="2"/>
      <c r="E39" s="81"/>
      <c r="F39" s="81"/>
      <c r="G39" s="81"/>
      <c r="H39" s="81"/>
      <c r="I39" s="81"/>
      <c r="J39" s="81"/>
      <c r="K39" s="81"/>
      <c r="L39" s="81"/>
      <c r="M39" s="81"/>
      <c r="N39" s="97"/>
    </row>
    <row r="40" spans="2:21" x14ac:dyDescent="0.25">
      <c r="B40" s="96"/>
      <c r="C40" s="81"/>
      <c r="D40" s="323" t="s">
        <v>150</v>
      </c>
      <c r="E40" s="290">
        <f>D_ref</f>
        <v>100</v>
      </c>
      <c r="F40" s="313"/>
      <c r="G40" s="313"/>
      <c r="H40" s="309" t="s">
        <v>199</v>
      </c>
      <c r="I40" s="309" t="s">
        <v>200</v>
      </c>
      <c r="J40" s="310" t="s">
        <v>201</v>
      </c>
      <c r="K40" s="81"/>
      <c r="L40" s="81"/>
      <c r="M40" s="81"/>
      <c r="N40" s="97"/>
    </row>
    <row r="41" spans="2:21" x14ac:dyDescent="0.25">
      <c r="B41" s="96"/>
      <c r="C41" s="81"/>
      <c r="D41" s="324" t="s">
        <v>148</v>
      </c>
      <c r="E41" s="8">
        <f>Long_ogive</f>
        <v>250</v>
      </c>
      <c r="F41" s="2"/>
      <c r="G41" s="2" t="s">
        <v>202</v>
      </c>
      <c r="H41" s="8">
        <f>MasseSans</f>
        <v>8</v>
      </c>
      <c r="I41" s="8">
        <f ca="1">MasseVide</f>
        <v>8.6519999999999992</v>
      </c>
      <c r="J41" s="288">
        <f ca="1">MassePlein</f>
        <v>9.6850000000000005</v>
      </c>
      <c r="K41" s="81"/>
      <c r="L41" s="81"/>
      <c r="M41" s="81"/>
      <c r="N41" s="97"/>
    </row>
    <row r="42" spans="2:21" x14ac:dyDescent="0.25">
      <c r="B42" s="96"/>
      <c r="C42" s="81"/>
      <c r="D42" s="324" t="s">
        <v>151</v>
      </c>
      <c r="E42" s="8">
        <f>X_ail-m_ail</f>
        <v>1580</v>
      </c>
      <c r="F42" s="299"/>
      <c r="G42" s="299" t="s">
        <v>219</v>
      </c>
      <c r="H42" s="311">
        <f>XcgSans</f>
        <v>1100</v>
      </c>
      <c r="I42" s="311">
        <f ca="1">XcgVide</f>
        <v>1134.06195099399</v>
      </c>
      <c r="J42" s="289">
        <f ca="1">XcgPlein</f>
        <v>1180.3789364997419</v>
      </c>
      <c r="K42" s="81"/>
      <c r="L42" s="81"/>
      <c r="M42" s="81"/>
      <c r="N42" s="97"/>
    </row>
    <row r="43" spans="2:21" x14ac:dyDescent="0.25">
      <c r="B43" s="96"/>
      <c r="C43" s="81"/>
      <c r="D43" s="324" t="str">
        <f>IF(Lang="Français","Emplanture 'm'",IF(Lang="English","Root edge  'm'",""))</f>
        <v>Emplanture 'm'</v>
      </c>
      <c r="E43" s="288">
        <f>m_ail</f>
        <v>220</v>
      </c>
      <c r="F43" s="81"/>
      <c r="G43" s="81"/>
      <c r="H43" s="81"/>
      <c r="I43" s="81"/>
      <c r="J43" s="81"/>
      <c r="K43" s="81"/>
      <c r="L43" s="81"/>
      <c r="M43" s="81"/>
      <c r="N43" s="97"/>
    </row>
    <row r="44" spans="2:21" x14ac:dyDescent="0.25">
      <c r="B44" s="96"/>
      <c r="C44" s="81"/>
      <c r="D44" s="324" t="str">
        <f>IF(Lang="Français","Saumon      'n'",IF(Lang="English","Tip edge    'n'",""))</f>
        <v>Saumon      'n'</v>
      </c>
      <c r="E44" s="288">
        <f>n_ail</f>
        <v>100</v>
      </c>
      <c r="F44" s="290" t="s">
        <v>203</v>
      </c>
      <c r="G44" s="290" t="s">
        <v>208</v>
      </c>
      <c r="H44" s="779">
        <f ca="1">Vsortie_de_rampe</f>
        <v>25.035790648174238</v>
      </c>
      <c r="I44" s="780"/>
      <c r="J44" s="81"/>
      <c r="K44" s="81"/>
      <c r="L44" s="81"/>
      <c r="M44" s="81"/>
      <c r="N44" s="97"/>
    </row>
    <row r="45" spans="2:21" x14ac:dyDescent="0.25">
      <c r="B45" s="96"/>
      <c r="C45" s="81"/>
      <c r="D45" s="324" t="str">
        <f>IF(Lang="Français","Flèche        'p'",IF(Lang="English","Offset         'p'",""))</f>
        <v>Flèche        'p'</v>
      </c>
      <c r="E45" s="288">
        <f>p_ail</f>
        <v>200</v>
      </c>
      <c r="F45" s="8" t="s">
        <v>204</v>
      </c>
      <c r="G45" s="8" t="s">
        <v>209</v>
      </c>
      <c r="H45" s="785">
        <f>Finesse</f>
        <v>18</v>
      </c>
      <c r="I45" s="786"/>
      <c r="J45" s="81"/>
      <c r="K45" s="81"/>
      <c r="L45" s="81"/>
      <c r="M45" s="81"/>
      <c r="N45" s="97"/>
    </row>
    <row r="46" spans="2:21" x14ac:dyDescent="0.25">
      <c r="B46" s="96"/>
      <c r="C46" s="81"/>
      <c r="D46" s="324" t="str">
        <f>IF(Lang="Français","Envergure   'E'",IF(Lang="English","Span          'E'",""))</f>
        <v>Envergure   'E'</v>
      </c>
      <c r="E46" s="288">
        <f>E_ail</f>
        <v>150</v>
      </c>
      <c r="F46" s="8" t="s">
        <v>205</v>
      </c>
      <c r="G46" s="8" t="s">
        <v>210</v>
      </c>
      <c r="H46" s="785">
        <f>Cn</f>
        <v>19.135014339693754</v>
      </c>
      <c r="I46" s="786"/>
      <c r="J46" s="81"/>
      <c r="K46" s="81"/>
      <c r="L46" s="81"/>
      <c r="M46" s="81"/>
      <c r="N46" s="97"/>
    </row>
    <row r="47" spans="2:21" x14ac:dyDescent="0.25">
      <c r="B47" s="96"/>
      <c r="C47" s="81"/>
      <c r="D47" s="324" t="s">
        <v>145</v>
      </c>
      <c r="E47" s="288">
        <f>ep_ail</f>
        <v>2</v>
      </c>
      <c r="F47" s="8" t="s">
        <v>206</v>
      </c>
      <c r="G47" s="8" t="s">
        <v>211</v>
      </c>
      <c r="H47" s="291">
        <f ca="1">MS_min</f>
        <v>3.6252549754626102</v>
      </c>
      <c r="I47" s="298">
        <f ca="1">MS_max</f>
        <v>4.0884248305201298</v>
      </c>
      <c r="J47" s="81"/>
      <c r="K47" s="81"/>
      <c r="L47" s="81"/>
      <c r="M47" s="81"/>
      <c r="N47" s="97"/>
    </row>
    <row r="48" spans="2:21" x14ac:dyDescent="0.25">
      <c r="B48" s="96"/>
      <c r="C48" s="81"/>
      <c r="D48" s="324" t="s">
        <v>146</v>
      </c>
      <c r="E48" s="288">
        <f>Q_ail</f>
        <v>4</v>
      </c>
      <c r="F48" s="322" t="s">
        <v>207</v>
      </c>
      <c r="G48" s="322" t="s">
        <v>212</v>
      </c>
      <c r="H48" s="300">
        <f ca="1">MS_Cn_min</f>
        <v>69.369305940523176</v>
      </c>
      <c r="I48" s="312">
        <f ca="1">MS_Cn_max</f>
        <v>78.232067758762696</v>
      </c>
      <c r="J48" s="81"/>
      <c r="K48" s="81"/>
      <c r="L48" s="81"/>
      <c r="M48" s="81"/>
      <c r="N48" s="97"/>
    </row>
    <row r="49" spans="2:14" x14ac:dyDescent="0.25">
      <c r="B49" s="96"/>
      <c r="C49" s="81"/>
      <c r="D49" s="324" t="s">
        <v>149</v>
      </c>
      <c r="E49" s="288">
        <f ca="1">XpropuRef-Long_propu</f>
        <v>1312</v>
      </c>
      <c r="F49" s="81"/>
      <c r="G49" s="81"/>
      <c r="H49" s="81"/>
      <c r="I49" s="81"/>
      <c r="J49" s="81"/>
      <c r="K49" s="81"/>
      <c r="L49" s="81"/>
      <c r="M49" s="81"/>
      <c r="N49" s="97"/>
    </row>
    <row r="50" spans="2:14" x14ac:dyDescent="0.25">
      <c r="B50" s="96"/>
      <c r="C50" s="81"/>
      <c r="D50" s="324" t="s">
        <v>147</v>
      </c>
      <c r="E50" s="320" t="str">
        <f>Forme_ogive</f>
        <v>Ogivale (pointue)</v>
      </c>
      <c r="F50" s="321" t="s">
        <v>184</v>
      </c>
      <c r="G50" s="323" t="s">
        <v>5</v>
      </c>
      <c r="H50" s="290">
        <f>Cx</f>
        <v>0.5</v>
      </c>
      <c r="I50" s="313"/>
      <c r="J50" s="314"/>
      <c r="K50" s="81"/>
      <c r="L50" s="81"/>
      <c r="M50" s="81"/>
      <c r="N50" s="97"/>
    </row>
    <row r="51" spans="2:14" x14ac:dyDescent="0.25">
      <c r="B51" s="96"/>
      <c r="C51" s="81"/>
      <c r="D51" s="324" t="s">
        <v>143</v>
      </c>
      <c r="E51" s="288">
        <f>Long_tot</f>
        <v>1800</v>
      </c>
      <c r="F51" s="81"/>
      <c r="G51" s="324" t="s">
        <v>213</v>
      </c>
      <c r="H51" s="8">
        <f>Sref</f>
        <v>9.0539816339744832E-3</v>
      </c>
      <c r="I51" s="81"/>
      <c r="J51" s="315"/>
      <c r="K51" s="81"/>
      <c r="L51" s="81"/>
      <c r="M51" s="81"/>
      <c r="N51" s="97"/>
    </row>
    <row r="52" spans="2:14" x14ac:dyDescent="0.25">
      <c r="B52" s="96"/>
      <c r="C52" s="81"/>
      <c r="D52" s="324" t="s">
        <v>197</v>
      </c>
      <c r="E52" s="288">
        <f>MAX(D_ref,D_ail,D_og,(RIGHT(Nb_diam,1)=",")*MAX(D1j,D1r,D2j,D2r))</f>
        <v>100</v>
      </c>
      <c r="F52" s="81"/>
      <c r="G52" s="324" t="s">
        <v>214</v>
      </c>
      <c r="H52" s="8">
        <f>Beta_rampe</f>
        <v>80</v>
      </c>
      <c r="I52" s="8">
        <v>80</v>
      </c>
      <c r="J52" s="288">
        <v>90</v>
      </c>
      <c r="K52" s="81"/>
      <c r="L52" s="81"/>
      <c r="M52" s="81"/>
      <c r="N52" s="97"/>
    </row>
    <row r="53" spans="2:14" x14ac:dyDescent="0.25">
      <c r="B53" s="96"/>
      <c r="C53" s="81"/>
      <c r="D53" s="325" t="s">
        <v>198</v>
      </c>
      <c r="E53" s="308">
        <f>E_ail*2+D_ail</f>
        <v>400</v>
      </c>
      <c r="F53" s="81"/>
      <c r="G53" s="327" t="s">
        <v>216</v>
      </c>
      <c r="H53" s="304">
        <f ca="1">Temps_culmi</f>
        <v>17.199999999999932</v>
      </c>
      <c r="I53" s="305"/>
      <c r="J53" s="316"/>
      <c r="K53" s="81"/>
      <c r="L53" s="81"/>
      <c r="M53" s="81"/>
      <c r="N53" s="97"/>
    </row>
    <row r="54" spans="2:14" x14ac:dyDescent="0.25">
      <c r="B54" s="96"/>
      <c r="C54" s="81"/>
      <c r="D54" s="81"/>
      <c r="E54" s="81"/>
      <c r="F54" s="81"/>
      <c r="G54" s="327" t="s">
        <v>217</v>
      </c>
      <c r="H54" s="286">
        <f ca="1">Altitude_culmi</f>
        <v>1415.3356551860206</v>
      </c>
      <c r="I54" s="305"/>
      <c r="J54" s="316"/>
      <c r="K54" s="81"/>
      <c r="L54" s="81"/>
      <c r="M54" s="81"/>
      <c r="N54" s="97"/>
    </row>
    <row r="55" spans="2:14" x14ac:dyDescent="0.25">
      <c r="B55" s="96"/>
      <c r="C55" s="323" t="s">
        <v>234</v>
      </c>
      <c r="D55" s="293" t="s">
        <v>61</v>
      </c>
      <c r="E55" s="287">
        <f>Long_tot</f>
        <v>1800</v>
      </c>
      <c r="F55" s="81"/>
      <c r="G55" s="327" t="s">
        <v>218</v>
      </c>
      <c r="H55" s="306">
        <f ca="1">Vit_culmi</f>
        <v>29.647815193966849</v>
      </c>
      <c r="I55" s="305"/>
      <c r="J55" s="316"/>
      <c r="K55" s="81"/>
      <c r="L55" s="81"/>
      <c r="M55" s="81"/>
      <c r="N55" s="97"/>
    </row>
    <row r="56" spans="2:14" x14ac:dyDescent="0.25">
      <c r="B56" s="96"/>
      <c r="C56" s="324"/>
      <c r="D56" s="2" t="s">
        <v>220</v>
      </c>
      <c r="E56" s="288">
        <f>MAX(D_ref,D_ail,D_og,(RIGHT(Nb_diam,1)=",")*MAX(D1j,D1r,D2j,D2r))</f>
        <v>100</v>
      </c>
      <c r="F56" s="81"/>
      <c r="G56" s="327" t="s">
        <v>134</v>
      </c>
      <c r="H56" s="307">
        <f ca="1">Portee_balistique</f>
        <v>1009.0500868209435</v>
      </c>
      <c r="I56" s="305"/>
      <c r="J56" s="316"/>
      <c r="K56" s="81"/>
      <c r="L56" s="81"/>
      <c r="M56" s="81"/>
      <c r="N56" s="97"/>
    </row>
    <row r="57" spans="2:14" x14ac:dyDescent="0.25">
      <c r="B57" s="96"/>
      <c r="C57" s="324"/>
      <c r="D57" s="2" t="s">
        <v>221</v>
      </c>
      <c r="E57" s="288">
        <f>E_ail*2+D_ail</f>
        <v>400</v>
      </c>
      <c r="F57" s="81"/>
      <c r="G57" s="327" t="s">
        <v>215</v>
      </c>
      <c r="H57" s="307">
        <f ca="1">T_balistique</f>
        <v>35.600000000000193</v>
      </c>
      <c r="I57" s="305"/>
      <c r="J57" s="316"/>
      <c r="K57" s="81"/>
      <c r="L57" s="81"/>
      <c r="M57" s="81"/>
      <c r="N57" s="97"/>
    </row>
    <row r="58" spans="2:14" x14ac:dyDescent="0.25">
      <c r="B58" s="96"/>
      <c r="C58" s="324"/>
      <c r="D58" s="2" t="s">
        <v>222</v>
      </c>
      <c r="E58" s="288">
        <f ca="1">MassePlein</f>
        <v>9.6850000000000005</v>
      </c>
      <c r="F58" s="81"/>
      <c r="G58" s="327" t="s">
        <v>138</v>
      </c>
      <c r="H58" s="306">
        <f ca="1">Vit_max</f>
        <v>176.29977576665917</v>
      </c>
      <c r="I58" s="305"/>
      <c r="J58" s="316"/>
      <c r="K58" s="81"/>
      <c r="L58" s="81"/>
      <c r="M58" s="81"/>
      <c r="N58" s="97"/>
    </row>
    <row r="59" spans="2:14" x14ac:dyDescent="0.25">
      <c r="B59" s="96"/>
      <c r="C59" s="325" t="s">
        <v>235</v>
      </c>
      <c r="D59" s="299" t="s">
        <v>146</v>
      </c>
      <c r="E59" s="308">
        <f>Q_ail</f>
        <v>4</v>
      </c>
      <c r="F59" s="81"/>
      <c r="G59" s="327" t="s">
        <v>137</v>
      </c>
      <c r="H59" s="307">
        <f ca="1">Acc_max</f>
        <v>82.582874146450379</v>
      </c>
      <c r="I59" s="305"/>
      <c r="J59" s="316"/>
      <c r="K59" s="81"/>
      <c r="L59" s="81"/>
      <c r="M59" s="81"/>
      <c r="N59" s="97"/>
    </row>
    <row r="60" spans="2:14" x14ac:dyDescent="0.25">
      <c r="B60" s="96"/>
      <c r="C60" s="284"/>
      <c r="D60" s="81"/>
      <c r="E60" s="81"/>
      <c r="F60" s="81"/>
      <c r="G60" s="317" t="s">
        <v>223</v>
      </c>
      <c r="H60" s="318"/>
      <c r="I60" s="318"/>
      <c r="J60" s="319"/>
      <c r="K60" s="81"/>
      <c r="L60" s="81"/>
      <c r="M60" s="81"/>
      <c r="N60" s="97"/>
    </row>
    <row r="61" spans="2:14" x14ac:dyDescent="0.25">
      <c r="B61" s="96"/>
      <c r="C61" s="323"/>
      <c r="D61" s="293"/>
      <c r="E61" s="290" t="s">
        <v>227</v>
      </c>
      <c r="F61" s="287" t="s">
        <v>228</v>
      </c>
      <c r="G61" s="19"/>
      <c r="H61" s="19"/>
      <c r="I61" s="19"/>
      <c r="J61" s="19"/>
      <c r="K61" s="2"/>
      <c r="L61" s="81"/>
      <c r="M61" s="81"/>
      <c r="N61" s="97"/>
    </row>
    <row r="62" spans="2:14" x14ac:dyDescent="0.25">
      <c r="B62" s="96"/>
      <c r="C62" s="324" t="s">
        <v>236</v>
      </c>
      <c r="D62" s="329" t="s">
        <v>226</v>
      </c>
      <c r="E62" s="286">
        <f ca="1">2*Acc_max*MassePlein</f>
        <v>1599.6302722167438</v>
      </c>
      <c r="F62" s="330">
        <f ca="1">E62/9.81</f>
        <v>163.06118982841426</v>
      </c>
      <c r="H62" s="19"/>
      <c r="I62" s="19"/>
      <c r="J62" s="19"/>
      <c r="K62" s="2"/>
      <c r="L62" s="81"/>
      <c r="M62" s="81"/>
      <c r="N62" s="97"/>
    </row>
    <row r="63" spans="2:14" x14ac:dyDescent="0.25">
      <c r="B63" s="96"/>
      <c r="C63" s="324"/>
      <c r="D63" s="2" t="s">
        <v>224</v>
      </c>
      <c r="E63" s="286">
        <f ca="1">2*Acc_max*Masse_ail</f>
        <v>15.855911836118473</v>
      </c>
      <c r="F63" s="292">
        <f ca="1">E63/9.81</f>
        <v>1.6163009007256344</v>
      </c>
      <c r="G63" s="290" t="s">
        <v>230</v>
      </c>
      <c r="H63" s="338">
        <f>S_ail*(ep_ail/1000)*2000</f>
        <v>9.6000000000000002E-2</v>
      </c>
      <c r="I63" s="19"/>
      <c r="J63" s="19"/>
      <c r="K63" s="2"/>
      <c r="L63" s="81"/>
      <c r="M63" s="81"/>
      <c r="N63" s="97"/>
    </row>
    <row r="64" spans="2:14" x14ac:dyDescent="0.25">
      <c r="B64" s="96"/>
      <c r="C64" s="325"/>
      <c r="D64" s="299" t="s">
        <v>225</v>
      </c>
      <c r="E64" s="311">
        <f ca="1">0.104*S_ail*Vit_max^2</f>
        <v>77.579700894694255</v>
      </c>
      <c r="F64" s="331">
        <f ca="1">E64/9.81</f>
        <v>7.9082263908964583</v>
      </c>
      <c r="G64" s="322" t="s">
        <v>229</v>
      </c>
      <c r="H64" s="339">
        <f>(E_ail*(m_ail+n_ail)/2)/10^6</f>
        <v>2.4E-2</v>
      </c>
      <c r="I64" s="19"/>
      <c r="J64" s="19"/>
      <c r="K64" s="19"/>
      <c r="L64" s="81"/>
      <c r="M64" s="81"/>
      <c r="N64" s="97"/>
    </row>
    <row r="65" spans="2:14" x14ac:dyDescent="0.25">
      <c r="B65" s="96"/>
      <c r="C65" s="332" t="s">
        <v>243</v>
      </c>
      <c r="D65" s="335" t="s">
        <v>241</v>
      </c>
      <c r="E65" s="336">
        <f ca="1">2*Acc_max*H65</f>
        <v>799.81513610837192</v>
      </c>
      <c r="F65" s="336">
        <f ca="1">E65/9.81</f>
        <v>81.530594914207128</v>
      </c>
      <c r="G65" s="337" t="s">
        <v>242</v>
      </c>
      <c r="H65" s="328">
        <f ca="1">E58/2</f>
        <v>4.8425000000000002</v>
      </c>
      <c r="I65" s="19"/>
      <c r="J65" s="19"/>
      <c r="K65" s="19"/>
      <c r="L65" s="81"/>
      <c r="M65" s="81"/>
      <c r="N65" s="97"/>
    </row>
    <row r="66" spans="2:14" x14ac:dyDescent="0.25">
      <c r="B66" s="96"/>
      <c r="C66" s="326"/>
      <c r="D66" s="19"/>
      <c r="E66" s="19"/>
      <c r="F66" s="19"/>
      <c r="G66" s="19"/>
      <c r="H66" s="19"/>
      <c r="I66" s="19"/>
      <c r="J66" s="19"/>
      <c r="K66" s="19"/>
      <c r="L66" s="81"/>
      <c r="M66" s="81"/>
      <c r="N66" s="97"/>
    </row>
    <row r="67" spans="2:14" x14ac:dyDescent="0.25">
      <c r="B67" s="96"/>
      <c r="F67" s="323" t="s">
        <v>233</v>
      </c>
      <c r="G67" s="293" t="s">
        <v>231</v>
      </c>
      <c r="H67" s="294">
        <f>T_para</f>
        <v>16</v>
      </c>
      <c r="I67" s="295">
        <f ca="1">Temps_culmi</f>
        <v>17.199999999999932</v>
      </c>
      <c r="J67" s="19"/>
      <c r="K67" s="19"/>
      <c r="L67" s="81"/>
      <c r="M67" s="81"/>
      <c r="N67" s="97"/>
    </row>
    <row r="68" spans="2:14" x14ac:dyDescent="0.25">
      <c r="B68" s="96"/>
      <c r="C68" s="326"/>
      <c r="D68" s="19"/>
      <c r="E68" s="19"/>
      <c r="F68" s="323" t="s">
        <v>232</v>
      </c>
      <c r="G68" s="293" t="s">
        <v>130</v>
      </c>
      <c r="H68" s="294">
        <f ca="1">V_para</f>
        <v>23.077135165697658</v>
      </c>
      <c r="I68" s="295">
        <f>V_satellite</f>
        <v>12.655562623057198</v>
      </c>
      <c r="J68" s="19"/>
      <c r="K68" s="19"/>
      <c r="L68" s="81"/>
      <c r="M68" s="81"/>
      <c r="N68" s="97"/>
    </row>
    <row r="69" spans="2:14" x14ac:dyDescent="0.25">
      <c r="B69" s="96"/>
      <c r="C69" s="326"/>
      <c r="D69" s="19"/>
      <c r="E69" s="19"/>
      <c r="F69" s="324"/>
      <c r="G69" s="2" t="s">
        <v>238</v>
      </c>
      <c r="H69" s="291">
        <f>S_para</f>
        <v>0.26020500000000002</v>
      </c>
      <c r="I69" s="297">
        <f>S_satellite</f>
        <v>0.1</v>
      </c>
      <c r="J69" s="19"/>
      <c r="K69" s="19"/>
      <c r="L69" s="81"/>
      <c r="M69" s="81"/>
      <c r="N69" s="97"/>
    </row>
    <row r="70" spans="2:14" x14ac:dyDescent="0.25">
      <c r="B70" s="96"/>
      <c r="C70" s="285"/>
      <c r="D70" s="2"/>
      <c r="E70" s="81"/>
      <c r="F70" s="324"/>
      <c r="G70" s="2" t="s">
        <v>237</v>
      </c>
      <c r="H70" s="291">
        <f ca="1">V_ouverture</f>
        <v>32.437770654801028</v>
      </c>
      <c r="I70" s="297">
        <f ca="1">V_ouv_sat</f>
        <v>174.97666183417621</v>
      </c>
      <c r="L70" s="81"/>
      <c r="M70" s="81"/>
      <c r="N70" s="97"/>
    </row>
    <row r="71" spans="2:14" x14ac:dyDescent="0.25">
      <c r="B71" s="96"/>
      <c r="C71" s="265"/>
      <c r="E71" s="81"/>
      <c r="F71" s="324"/>
      <c r="G71" s="2" t="s">
        <v>202</v>
      </c>
      <c r="H71" s="291">
        <f ca="1">m_vide</f>
        <v>8.6519999999999992</v>
      </c>
      <c r="I71" s="297">
        <f>m_satellite</f>
        <v>1</v>
      </c>
      <c r="J71" s="81"/>
      <c r="K71" s="81"/>
      <c r="L71" s="81"/>
      <c r="M71" s="81"/>
      <c r="N71" s="97"/>
    </row>
    <row r="72" spans="2:14" x14ac:dyDescent="0.25">
      <c r="B72" s="96"/>
      <c r="C72" s="265"/>
      <c r="E72" s="81"/>
      <c r="F72" s="324"/>
      <c r="G72" s="2" t="s">
        <v>239</v>
      </c>
      <c r="H72" s="333">
        <f ca="1">1/2*Rho_moyen*S_para*V_ouverture^2</f>
        <v>167.69639567293976</v>
      </c>
      <c r="I72" s="334">
        <f ca="1">1/2*Rho_moyen*S_satellite*V_ouv_sat^2</f>
        <v>1875.2809714311893</v>
      </c>
      <c r="J72" s="81"/>
      <c r="K72" s="81"/>
      <c r="L72" s="81"/>
      <c r="M72" s="81"/>
      <c r="N72" s="97"/>
    </row>
    <row r="73" spans="2:14" x14ac:dyDescent="0.25">
      <c r="B73" s="96"/>
      <c r="C73" s="81"/>
      <c r="D73" s="2"/>
      <c r="E73" s="81"/>
      <c r="F73" s="325"/>
      <c r="G73" s="299" t="s">
        <v>240</v>
      </c>
      <c r="H73" s="300">
        <f ca="1">H72/9.81</f>
        <v>17.094433809677856</v>
      </c>
      <c r="I73" s="301">
        <f ca="1">I72/9.81</f>
        <v>191.16013979930574</v>
      </c>
      <c r="J73" s="81"/>
      <c r="K73" s="81"/>
      <c r="L73" s="81"/>
      <c r="M73" s="81"/>
      <c r="N73" s="97"/>
    </row>
    <row r="74" spans="2:14" ht="13.8" thickBot="1" x14ac:dyDescent="0.3">
      <c r="B74" s="99"/>
      <c r="C74" s="102"/>
      <c r="D74" s="102"/>
      <c r="E74" s="102"/>
      <c r="F74" s="102"/>
      <c r="G74" s="102"/>
      <c r="H74" s="102"/>
      <c r="I74" s="102"/>
      <c r="J74" s="102"/>
      <c r="K74" s="102"/>
      <c r="L74" s="102"/>
      <c r="M74" s="102"/>
      <c r="N74" s="101"/>
    </row>
    <row r="76" spans="2:14" ht="13.8" thickBot="1" x14ac:dyDescent="0.3"/>
    <row r="77" spans="2:14" x14ac:dyDescent="0.25">
      <c r="B77" s="93"/>
      <c r="C77" s="94"/>
      <c r="D77" s="94"/>
      <c r="E77" s="94"/>
      <c r="F77" s="94"/>
      <c r="G77" s="94"/>
      <c r="H77" s="94"/>
      <c r="I77" s="94"/>
      <c r="J77" s="94"/>
      <c r="K77" s="94"/>
      <c r="L77" s="94"/>
      <c r="M77" s="94"/>
      <c r="N77" s="95"/>
    </row>
    <row r="78" spans="2:14" x14ac:dyDescent="0.25">
      <c r="B78" s="96"/>
      <c r="C78" s="81"/>
      <c r="D78" s="2" t="s">
        <v>335</v>
      </c>
      <c r="E78" s="81"/>
      <c r="F78" s="81"/>
      <c r="G78" s="81"/>
      <c r="H78" s="81"/>
      <c r="I78" s="81"/>
      <c r="J78" s="81"/>
      <c r="K78" s="81"/>
      <c r="L78" s="81"/>
      <c r="M78" s="81"/>
      <c r="N78" s="97"/>
    </row>
    <row r="79" spans="2:14" ht="12.75" customHeight="1" x14ac:dyDescent="0.3">
      <c r="B79" s="96"/>
      <c r="C79" s="81"/>
      <c r="D79" s="81"/>
      <c r="E79" s="499"/>
      <c r="F79" s="500"/>
      <c r="G79" s="504" t="s">
        <v>341</v>
      </c>
      <c r="H79" s="81"/>
      <c r="I79" s="524"/>
      <c r="J79" s="499"/>
      <c r="K79" s="499"/>
      <c r="L79" s="81"/>
      <c r="M79" s="81"/>
      <c r="N79" s="97"/>
    </row>
    <row r="80" spans="2:14" x14ac:dyDescent="0.25">
      <c r="B80" s="96"/>
      <c r="C80" s="323" t="s">
        <v>336</v>
      </c>
      <c r="D80" s="287" t="str">
        <f>Nom</f>
        <v>Indra</v>
      </c>
      <c r="E80" s="499"/>
      <c r="F80" s="500"/>
      <c r="G80" s="499"/>
      <c r="H80" s="499"/>
      <c r="I80" s="499"/>
      <c r="J80" s="499"/>
      <c r="K80" s="499"/>
      <c r="L80" s="81"/>
      <c r="M80" s="81"/>
      <c r="N80" s="97"/>
    </row>
    <row r="81" spans="2:14" ht="13.8" thickBot="1" x14ac:dyDescent="0.3">
      <c r="B81" s="96"/>
      <c r="C81" s="324" t="s">
        <v>4</v>
      </c>
      <c r="D81" s="288" t="str">
        <f>Club</f>
        <v>Space'Tech Orléans</v>
      </c>
      <c r="E81" s="499"/>
      <c r="F81" s="500"/>
      <c r="G81" s="499"/>
      <c r="H81" s="499"/>
      <c r="I81" s="499"/>
      <c r="J81" s="499"/>
      <c r="K81" s="499"/>
      <c r="L81" s="81"/>
      <c r="M81" s="81"/>
      <c r="N81" s="97"/>
    </row>
    <row r="82" spans="2:14" ht="13.8" thickBot="1" x14ac:dyDescent="0.3">
      <c r="B82" s="96"/>
      <c r="C82" s="497" t="s">
        <v>337</v>
      </c>
      <c r="D82" s="288" t="s">
        <v>14</v>
      </c>
      <c r="E82" s="501" t="s">
        <v>342</v>
      </c>
      <c r="F82" s="511">
        <f>Long_ogive</f>
        <v>250</v>
      </c>
      <c r="G82" s="499"/>
      <c r="H82" s="499"/>
      <c r="I82" s="499"/>
      <c r="J82" s="499"/>
      <c r="K82" s="499"/>
      <c r="L82" s="81"/>
      <c r="M82" s="81"/>
      <c r="N82" s="97"/>
    </row>
    <row r="83" spans="2:14" x14ac:dyDescent="0.25">
      <c r="B83" s="96"/>
      <c r="C83" s="325" t="s">
        <v>338</v>
      </c>
      <c r="D83" s="498">
        <f ca="1">TODAY()</f>
        <v>44881</v>
      </c>
      <c r="E83" s="499"/>
      <c r="F83" s="505"/>
      <c r="G83" s="499"/>
      <c r="H83" s="499"/>
      <c r="I83" s="499"/>
      <c r="J83" s="499"/>
      <c r="K83" s="499"/>
      <c r="L83" s="81"/>
      <c r="M83" s="81"/>
      <c r="N83" s="97"/>
    </row>
    <row r="84" spans="2:14" ht="13.8" thickBot="1" x14ac:dyDescent="0.3">
      <c r="B84" s="96"/>
      <c r="C84" s="81"/>
      <c r="D84" s="81"/>
      <c r="E84" s="499"/>
      <c r="F84" s="505"/>
      <c r="G84" s="499"/>
      <c r="H84" s="499"/>
      <c r="I84" s="499"/>
      <c r="J84" s="510" t="str">
        <f>IF(RIGHT(Nb_diam,1)=",", "", X_j)</f>
        <v/>
      </c>
      <c r="K84" s="499"/>
      <c r="L84" s="81"/>
      <c r="M84" s="81"/>
      <c r="N84" s="97"/>
    </row>
    <row r="85" spans="2:14" ht="13.8" thickBot="1" x14ac:dyDescent="0.3">
      <c r="B85" s="96"/>
      <c r="C85" s="323" t="s">
        <v>339</v>
      </c>
      <c r="D85" s="287" t="str">
        <f>Propu</f>
        <v>Barasinga (Pro54-5G C)</v>
      </c>
      <c r="E85" s="501" t="s">
        <v>343</v>
      </c>
      <c r="F85" s="511">
        <f>D_og</f>
        <v>100</v>
      </c>
      <c r="G85" s="499"/>
      <c r="H85" s="499"/>
      <c r="I85" s="499"/>
      <c r="J85" s="505"/>
      <c r="K85" s="499"/>
      <c r="L85" s="81"/>
      <c r="M85" s="81"/>
      <c r="N85" s="97"/>
    </row>
    <row r="86" spans="2:14" x14ac:dyDescent="0.25">
      <c r="B86" s="96"/>
      <c r="C86" s="325" t="s">
        <v>340</v>
      </c>
      <c r="D86" s="308" t="s">
        <v>14</v>
      </c>
      <c r="E86" s="499"/>
      <c r="F86" s="505"/>
      <c r="G86" s="499"/>
      <c r="H86" s="499"/>
      <c r="I86" s="499"/>
      <c r="J86" s="510" t="str">
        <f>IF(RIGHT(Nb_diam,1)=",", "", X_r)</f>
        <v/>
      </c>
      <c r="K86" s="499"/>
      <c r="L86" s="81"/>
      <c r="M86" s="81"/>
      <c r="N86" s="97"/>
    </row>
    <row r="87" spans="2:14" x14ac:dyDescent="0.25">
      <c r="B87" s="96"/>
      <c r="C87" s="81"/>
      <c r="D87" s="81"/>
      <c r="E87" s="499"/>
      <c r="F87" s="505"/>
      <c r="G87" s="499"/>
      <c r="H87" s="499"/>
      <c r="I87" s="499"/>
      <c r="J87" s="505"/>
      <c r="K87" s="499"/>
      <c r="L87" s="81"/>
      <c r="M87" s="81"/>
      <c r="N87" s="97"/>
    </row>
    <row r="88" spans="2:14" x14ac:dyDescent="0.25">
      <c r="B88" s="96"/>
      <c r="C88" s="81"/>
      <c r="D88" s="81"/>
      <c r="E88" s="499"/>
      <c r="F88" s="505"/>
      <c r="G88" s="499"/>
      <c r="H88" s="499"/>
      <c r="I88" s="499"/>
      <c r="J88" s="510" t="str">
        <f>IF(RIGHT(Nb_diam,1)=",", "", l_j)</f>
        <v/>
      </c>
      <c r="K88" s="499"/>
      <c r="L88" s="81"/>
      <c r="M88" s="81"/>
      <c r="N88" s="97"/>
    </row>
    <row r="89" spans="2:14" ht="13.8" thickBot="1" x14ac:dyDescent="0.3">
      <c r="B89" s="96"/>
      <c r="C89" s="81"/>
      <c r="D89" s="81"/>
      <c r="E89" s="499"/>
      <c r="F89" s="505"/>
      <c r="G89" s="499"/>
      <c r="H89" s="499"/>
      <c r="I89" s="499"/>
      <c r="J89" s="505"/>
      <c r="K89" s="499"/>
      <c r="L89" s="81"/>
      <c r="M89" s="81"/>
      <c r="N89" s="97"/>
    </row>
    <row r="90" spans="2:14" ht="13.8" thickBot="1" x14ac:dyDescent="0.3">
      <c r="B90" s="96"/>
      <c r="C90" s="81"/>
      <c r="D90" s="81"/>
      <c r="E90" s="502" t="s">
        <v>344</v>
      </c>
      <c r="F90" s="510" t="str">
        <f>IF(RIGHT(Nb_diam,1)=",", "", D2j)</f>
        <v/>
      </c>
      <c r="G90" s="499"/>
      <c r="H90" s="499"/>
      <c r="I90" s="499"/>
      <c r="J90" s="511">
        <f>X_ail-m_ail</f>
        <v>1580</v>
      </c>
      <c r="K90" s="503"/>
      <c r="L90" s="81"/>
      <c r="M90" s="81"/>
      <c r="N90" s="97"/>
    </row>
    <row r="91" spans="2:14" x14ac:dyDescent="0.25">
      <c r="B91" s="96"/>
      <c r="C91" s="81"/>
      <c r="D91" s="81"/>
      <c r="E91" s="499"/>
      <c r="F91" s="505"/>
      <c r="G91" s="499"/>
      <c r="H91" s="499"/>
      <c r="I91" s="499"/>
      <c r="J91" s="505"/>
      <c r="K91" s="499"/>
      <c r="L91" s="81"/>
      <c r="M91" s="81"/>
      <c r="N91" s="97"/>
    </row>
    <row r="92" spans="2:14" x14ac:dyDescent="0.25">
      <c r="B92" s="96"/>
      <c r="C92" s="81"/>
      <c r="D92" s="81"/>
      <c r="E92" s="499"/>
      <c r="F92" s="505"/>
      <c r="G92" s="499"/>
      <c r="H92" s="499"/>
      <c r="I92" s="499"/>
      <c r="J92" s="510" t="str">
        <f>IF(RIGHT(Nb_diam,1)=",", "", l_r)</f>
        <v/>
      </c>
      <c r="K92" s="499"/>
      <c r="L92" s="81"/>
      <c r="M92" s="81"/>
      <c r="N92" s="97"/>
    </row>
    <row r="93" spans="2:14" x14ac:dyDescent="0.25">
      <c r="B93" s="96"/>
      <c r="C93" s="81"/>
      <c r="D93" s="81"/>
      <c r="E93" s="499"/>
      <c r="F93" s="505"/>
      <c r="G93" s="499"/>
      <c r="H93" s="499"/>
      <c r="I93" s="499"/>
      <c r="J93" s="505"/>
      <c r="K93" s="499"/>
      <c r="L93" s="81"/>
      <c r="M93" s="81"/>
      <c r="N93" s="97"/>
    </row>
    <row r="94" spans="2:14" x14ac:dyDescent="0.25">
      <c r="B94" s="96"/>
      <c r="C94" s="81"/>
      <c r="D94" s="81"/>
      <c r="E94" s="502" t="s">
        <v>345</v>
      </c>
      <c r="F94" s="510" t="str">
        <f>IF(RIGHT(Nb_diam,1)=",", "", D2r)</f>
        <v/>
      </c>
      <c r="G94" s="499"/>
      <c r="H94" s="499"/>
      <c r="I94" s="499"/>
      <c r="J94" s="505"/>
      <c r="K94" s="499"/>
      <c r="L94" s="81"/>
      <c r="M94" s="81"/>
      <c r="N94" s="97"/>
    </row>
    <row r="95" spans="2:14" x14ac:dyDescent="0.25">
      <c r="B95" s="96"/>
      <c r="C95" s="81"/>
      <c r="D95" s="81"/>
      <c r="E95" s="499"/>
      <c r="F95" s="505"/>
      <c r="G95" s="499"/>
      <c r="H95" s="499"/>
      <c r="I95" s="499"/>
      <c r="J95" s="505"/>
      <c r="K95" s="499"/>
      <c r="L95" s="81"/>
      <c r="M95" s="81"/>
      <c r="N95" s="97"/>
    </row>
    <row r="96" spans="2:14" ht="13.8" thickBot="1" x14ac:dyDescent="0.3">
      <c r="B96" s="96"/>
      <c r="C96" s="81"/>
      <c r="D96" s="81"/>
      <c r="E96" s="499"/>
      <c r="F96" s="505"/>
      <c r="G96" s="499"/>
      <c r="H96" s="499"/>
      <c r="I96" s="499"/>
      <c r="J96" s="505"/>
      <c r="K96" s="499"/>
      <c r="L96" s="81"/>
      <c r="M96" s="81"/>
      <c r="N96" s="97"/>
    </row>
    <row r="97" spans="2:14" ht="13.8" thickBot="1" x14ac:dyDescent="0.3">
      <c r="B97" s="96"/>
      <c r="C97" s="81"/>
      <c r="D97" s="81"/>
      <c r="E97" s="501" t="s">
        <v>346</v>
      </c>
      <c r="F97" s="511">
        <f>m_ail</f>
        <v>220</v>
      </c>
      <c r="G97" s="499"/>
      <c r="H97" s="499"/>
      <c r="I97" s="499"/>
      <c r="J97" s="511">
        <f>p_ail</f>
        <v>200</v>
      </c>
      <c r="K97" s="503"/>
      <c r="L97" s="81"/>
      <c r="M97" s="81"/>
      <c r="N97" s="97"/>
    </row>
    <row r="98" spans="2:14" x14ac:dyDescent="0.25">
      <c r="B98" s="96"/>
      <c r="C98" s="81"/>
      <c r="D98" s="81"/>
      <c r="E98" s="499"/>
      <c r="F98" s="500"/>
      <c r="G98" s="499"/>
      <c r="H98" s="499"/>
      <c r="I98" s="499"/>
      <c r="J98" s="505"/>
      <c r="K98" s="499"/>
      <c r="L98" s="81"/>
      <c r="M98" s="81"/>
      <c r="N98" s="97"/>
    </row>
    <row r="99" spans="2:14" x14ac:dyDescent="0.25">
      <c r="B99" s="96"/>
      <c r="C99" s="81"/>
      <c r="D99" s="81"/>
      <c r="E99" s="499"/>
      <c r="F99" s="500"/>
      <c r="G99" s="499"/>
      <c r="H99" s="499"/>
      <c r="I99" s="499"/>
      <c r="J99" s="505"/>
      <c r="K99" s="499"/>
      <c r="L99" s="81"/>
      <c r="M99" s="81"/>
      <c r="N99" s="97"/>
    </row>
    <row r="100" spans="2:14" ht="13.8" thickBot="1" x14ac:dyDescent="0.3">
      <c r="B100" s="96"/>
      <c r="C100" s="81"/>
      <c r="D100" s="494" t="s">
        <v>348</v>
      </c>
      <c r="E100" s="290">
        <f>Q_ail</f>
        <v>4</v>
      </c>
      <c r="F100" s="495"/>
      <c r="G100" s="499"/>
      <c r="H100" s="499"/>
      <c r="I100" s="499"/>
      <c r="J100" s="505"/>
      <c r="K100" s="499"/>
      <c r="L100" s="81"/>
      <c r="M100" s="81"/>
      <c r="N100" s="97"/>
    </row>
    <row r="101" spans="2:14" ht="13.8" thickBot="1" x14ac:dyDescent="0.3">
      <c r="B101" s="96"/>
      <c r="C101" s="81"/>
      <c r="D101" s="506" t="s">
        <v>352</v>
      </c>
      <c r="E101" s="8">
        <f ca="1">XpropuRef-Long_propu</f>
        <v>1312</v>
      </c>
      <c r="F101" s="296"/>
      <c r="G101" s="499"/>
      <c r="H101" s="499"/>
      <c r="I101" s="499"/>
      <c r="J101" s="511">
        <f>n_ail</f>
        <v>100</v>
      </c>
      <c r="K101" s="503"/>
      <c r="L101" s="81"/>
      <c r="M101" s="81"/>
      <c r="N101" s="97"/>
    </row>
    <row r="102" spans="2:14" x14ac:dyDescent="0.25">
      <c r="B102" s="96"/>
      <c r="C102" s="81"/>
      <c r="D102" s="506" t="s">
        <v>349</v>
      </c>
      <c r="E102" s="8">
        <f>IF(LEFT(Forme_ogive,4)="Ogiv",1,0)</f>
        <v>1</v>
      </c>
      <c r="F102" s="296" t="s">
        <v>350</v>
      </c>
      <c r="G102" s="499"/>
      <c r="H102" s="499"/>
      <c r="I102" s="499"/>
      <c r="J102" s="505"/>
      <c r="K102" s="499"/>
      <c r="L102" s="81"/>
      <c r="M102" s="81"/>
      <c r="N102" s="97"/>
    </row>
    <row r="103" spans="2:14" x14ac:dyDescent="0.25">
      <c r="B103" s="96"/>
      <c r="C103" s="81"/>
      <c r="D103" s="506"/>
      <c r="E103" s="8">
        <f>IF(LEFT(Forme_ogive,3)="Con",1,0)</f>
        <v>0</v>
      </c>
      <c r="F103" s="296" t="s">
        <v>160</v>
      </c>
      <c r="G103" s="499"/>
      <c r="H103" s="499"/>
      <c r="I103" s="499"/>
      <c r="J103" s="505"/>
      <c r="K103" s="499"/>
      <c r="L103" s="81"/>
      <c r="M103" s="81"/>
      <c r="N103" s="97"/>
    </row>
    <row r="104" spans="2:14" ht="13.8" thickBot="1" x14ac:dyDescent="0.3">
      <c r="B104" s="96"/>
      <c r="C104" s="81"/>
      <c r="D104" s="496"/>
      <c r="E104" s="322">
        <f>IF(LEFT(Forme_ogive,5)="Parab",1,0)</f>
        <v>0</v>
      </c>
      <c r="F104" s="339" t="s">
        <v>351</v>
      </c>
      <c r="G104" s="499"/>
      <c r="H104" s="499"/>
      <c r="I104" s="499"/>
      <c r="J104" s="512" t="s">
        <v>347</v>
      </c>
      <c r="K104" s="499"/>
      <c r="L104" s="81"/>
      <c r="M104" s="81"/>
      <c r="N104" s="97"/>
    </row>
    <row r="105" spans="2:14" ht="13.8" thickBot="1" x14ac:dyDescent="0.3">
      <c r="B105" s="96"/>
      <c r="C105" s="81"/>
      <c r="D105" s="2"/>
      <c r="E105" s="2"/>
      <c r="F105" s="2"/>
      <c r="G105" s="501"/>
      <c r="H105" s="511">
        <f>E_ail</f>
        <v>150</v>
      </c>
      <c r="I105" s="501"/>
      <c r="J105" s="511">
        <f>ep_ail</f>
        <v>2</v>
      </c>
      <c r="K105" s="499"/>
      <c r="L105" s="81"/>
      <c r="M105" s="81"/>
      <c r="N105" s="97"/>
    </row>
    <row r="106" spans="2:14" x14ac:dyDescent="0.25">
      <c r="B106" s="96"/>
      <c r="C106" s="81"/>
      <c r="D106" s="494"/>
      <c r="E106" s="290" t="s">
        <v>356</v>
      </c>
      <c r="F106" s="287" t="s">
        <v>355</v>
      </c>
      <c r="G106" s="81"/>
      <c r="H106" s="81"/>
      <c r="I106" s="81"/>
      <c r="J106" s="81"/>
      <c r="K106" s="81"/>
      <c r="L106" s="81"/>
      <c r="M106" s="81"/>
      <c r="N106" s="97"/>
    </row>
    <row r="107" spans="2:14" x14ac:dyDescent="0.25">
      <c r="B107" s="96"/>
      <c r="C107" s="81"/>
      <c r="D107" s="506" t="s">
        <v>353</v>
      </c>
      <c r="E107" s="8">
        <f>MasseSans</f>
        <v>8</v>
      </c>
      <c r="F107" s="288">
        <f ca="1">MassePlein</f>
        <v>9.6850000000000005</v>
      </c>
      <c r="G107" s="81"/>
      <c r="H107" s="81"/>
      <c r="I107" s="81"/>
      <c r="J107" s="81"/>
      <c r="K107" s="81"/>
      <c r="L107" s="81"/>
      <c r="M107" s="81"/>
      <c r="N107" s="97"/>
    </row>
    <row r="108" spans="2:14" x14ac:dyDescent="0.25">
      <c r="B108" s="96"/>
      <c r="C108" s="81"/>
      <c r="D108" s="496" t="s">
        <v>354</v>
      </c>
      <c r="E108" s="322">
        <f>XcgSans</f>
        <v>1100</v>
      </c>
      <c r="F108" s="308">
        <f ca="1">XcgPlein</f>
        <v>1180.3789364997419</v>
      </c>
      <c r="G108" s="81"/>
      <c r="H108" s="81"/>
      <c r="I108" s="81"/>
      <c r="J108" s="81"/>
      <c r="K108" s="81"/>
      <c r="L108" s="81"/>
      <c r="M108" s="81"/>
      <c r="N108" s="97"/>
    </row>
    <row r="109" spans="2:14" x14ac:dyDescent="0.25">
      <c r="B109" s="96"/>
      <c r="C109" s="81"/>
      <c r="D109" s="81"/>
      <c r="E109" s="81"/>
      <c r="F109" s="81"/>
      <c r="G109" s="81"/>
      <c r="H109" s="81"/>
      <c r="I109" s="81"/>
      <c r="J109" s="81"/>
      <c r="K109" s="81"/>
      <c r="L109" s="81"/>
      <c r="M109" s="81"/>
      <c r="N109" s="97"/>
    </row>
    <row r="110" spans="2:14" x14ac:dyDescent="0.25">
      <c r="B110" s="96"/>
      <c r="C110" s="81"/>
      <c r="D110" s="507" t="s">
        <v>357</v>
      </c>
      <c r="E110" s="508">
        <f ca="1">MasseVide</f>
        <v>8.6519999999999992</v>
      </c>
      <c r="F110" s="81"/>
      <c r="G110" s="494" t="s">
        <v>358</v>
      </c>
      <c r="H110" s="313"/>
      <c r="I110" s="313"/>
      <c r="J110" s="314"/>
      <c r="K110" s="81"/>
      <c r="L110" s="81"/>
      <c r="M110" s="81"/>
      <c r="N110" s="97"/>
    </row>
    <row r="111" spans="2:14" x14ac:dyDescent="0.25">
      <c r="B111" s="96"/>
      <c r="C111" s="81"/>
      <c r="D111" s="81"/>
      <c r="E111" s="81"/>
      <c r="F111" s="81"/>
      <c r="G111" s="324" t="s">
        <v>214</v>
      </c>
      <c r="H111" s="8">
        <f>Beta_rampe</f>
        <v>80</v>
      </c>
      <c r="I111" s="8">
        <v>80</v>
      </c>
      <c r="J111" s="288">
        <v>90</v>
      </c>
      <c r="K111" s="81"/>
      <c r="L111" s="81"/>
      <c r="M111" s="81"/>
      <c r="N111" s="97"/>
    </row>
    <row r="112" spans="2:14" x14ac:dyDescent="0.25">
      <c r="B112" s="96"/>
      <c r="C112" s="81"/>
      <c r="D112" s="81"/>
      <c r="E112" s="81"/>
      <c r="F112" s="81"/>
      <c r="G112" s="327" t="s">
        <v>216</v>
      </c>
      <c r="H112" s="304">
        <f ca="1">Temps_culmi</f>
        <v>17.199999999999932</v>
      </c>
      <c r="I112" s="305"/>
      <c r="J112" s="316"/>
      <c r="K112" s="81"/>
      <c r="L112" s="81"/>
      <c r="M112" s="81"/>
      <c r="N112" s="97"/>
    </row>
    <row r="113" spans="2:14" ht="12.75" customHeight="1" x14ac:dyDescent="0.3">
      <c r="B113" s="96"/>
      <c r="C113" s="81"/>
      <c r="D113" s="504" t="s">
        <v>359</v>
      </c>
      <c r="E113" s="499"/>
      <c r="F113" s="81"/>
      <c r="G113" s="327" t="s">
        <v>217</v>
      </c>
      <c r="H113" s="286">
        <f ca="1">Altitude_culmi</f>
        <v>1415.3356551860206</v>
      </c>
      <c r="I113" s="305"/>
      <c r="J113" s="316"/>
      <c r="K113" s="81"/>
      <c r="L113" s="81"/>
      <c r="M113" s="81"/>
      <c r="N113" s="97"/>
    </row>
    <row r="114" spans="2:14" ht="12.75" customHeight="1" x14ac:dyDescent="0.3">
      <c r="B114" s="96"/>
      <c r="C114" s="81"/>
      <c r="D114" s="499"/>
      <c r="E114" s="499"/>
      <c r="F114" s="504"/>
      <c r="G114" s="327" t="s">
        <v>218</v>
      </c>
      <c r="H114" s="306">
        <f ca="1">Vit_culmi</f>
        <v>29.647815193966849</v>
      </c>
      <c r="I114" s="305"/>
      <c r="J114" s="316"/>
      <c r="K114" s="81"/>
      <c r="L114" s="81"/>
      <c r="M114" s="81"/>
      <c r="N114" s="97"/>
    </row>
    <row r="115" spans="2:14" x14ac:dyDescent="0.25">
      <c r="B115" s="96"/>
      <c r="C115" s="518" t="s">
        <v>360</v>
      </c>
      <c r="D115" s="519"/>
      <c r="E115" s="520">
        <v>0.1</v>
      </c>
      <c r="F115" s="81"/>
      <c r="G115" s="327" t="s">
        <v>134</v>
      </c>
      <c r="H115" s="307">
        <f ca="1">Portee_balistique</f>
        <v>1009.0500868209435</v>
      </c>
      <c r="I115" s="305"/>
      <c r="J115" s="316"/>
      <c r="K115" s="81"/>
      <c r="L115" s="81"/>
      <c r="M115" s="81"/>
      <c r="N115" s="97"/>
    </row>
    <row r="116" spans="2:14" ht="12.75" customHeight="1" x14ac:dyDescent="0.25">
      <c r="B116" s="96"/>
      <c r="C116" s="521" t="s">
        <v>361</v>
      </c>
      <c r="D116" s="522"/>
      <c r="E116" s="523">
        <f>E_ail*(m_ail+n_ail)/2</f>
        <v>24000</v>
      </c>
      <c r="F116" s="81"/>
      <c r="G116" s="327" t="s">
        <v>138</v>
      </c>
      <c r="H116" s="306">
        <f ca="1">Vit_max</f>
        <v>176.29977576665917</v>
      </c>
      <c r="I116" s="305"/>
      <c r="J116" s="316"/>
      <c r="K116" s="81"/>
      <c r="L116" s="81"/>
      <c r="M116" s="81"/>
      <c r="N116" s="97"/>
    </row>
    <row r="117" spans="2:14" ht="12.75" customHeight="1" x14ac:dyDescent="0.25">
      <c r="B117" s="96"/>
      <c r="C117" s="81"/>
      <c r="D117" s="499"/>
      <c r="E117" s="499"/>
      <c r="F117" s="499"/>
      <c r="G117" s="327" t="s">
        <v>137</v>
      </c>
      <c r="H117" s="307">
        <f ca="1">Acc_max</f>
        <v>82.582874146450379</v>
      </c>
      <c r="I117" s="305"/>
      <c r="J117" s="316"/>
      <c r="K117" s="81"/>
      <c r="L117" s="81"/>
      <c r="M117" s="81"/>
      <c r="N117" s="97"/>
    </row>
    <row r="118" spans="2:14" x14ac:dyDescent="0.25">
      <c r="B118" s="96"/>
      <c r="C118" s="525" t="s">
        <v>362</v>
      </c>
      <c r="D118" s="526"/>
      <c r="E118" s="539"/>
      <c r="F118" s="540">
        <f>J90/100</f>
        <v>15.8</v>
      </c>
      <c r="G118" s="324" t="s">
        <v>5</v>
      </c>
      <c r="H118" s="8">
        <f>Cx</f>
        <v>0.5</v>
      </c>
      <c r="I118" s="305"/>
      <c r="J118" s="316"/>
      <c r="K118" s="81"/>
      <c r="L118" s="81"/>
      <c r="M118" s="81"/>
      <c r="N118" s="97"/>
    </row>
    <row r="119" spans="2:14" x14ac:dyDescent="0.25">
      <c r="B119" s="96"/>
      <c r="C119" s="527" t="s">
        <v>363</v>
      </c>
      <c r="D119" s="528"/>
      <c r="E119" s="541">
        <f ca="1">2*Acc_max*MasseSans</f>
        <v>1321.3259863432061</v>
      </c>
      <c r="F119" s="542">
        <f ca="1">E119/g</f>
        <v>134.69174172713619</v>
      </c>
      <c r="G119" s="317" t="s">
        <v>223</v>
      </c>
      <c r="H119" s="318"/>
      <c r="I119" s="318"/>
      <c r="J119" s="319"/>
      <c r="K119" s="81"/>
      <c r="L119" s="81"/>
      <c r="M119" s="81"/>
      <c r="N119" s="97"/>
    </row>
    <row r="120" spans="2:14" x14ac:dyDescent="0.25">
      <c r="B120" s="96"/>
      <c r="C120" s="527" t="s">
        <v>364</v>
      </c>
      <c r="D120" s="528"/>
      <c r="E120" s="541">
        <f ca="1">2*Acc_max*E115</f>
        <v>16.516574829290075</v>
      </c>
      <c r="F120" s="542">
        <f ca="1">E120/g</f>
        <v>1.6836467715892023</v>
      </c>
      <c r="G120" s="81"/>
      <c r="H120" s="81"/>
      <c r="I120" s="81"/>
      <c r="J120" s="81"/>
      <c r="K120" s="81"/>
      <c r="L120" s="81"/>
      <c r="M120" s="81"/>
      <c r="N120" s="97"/>
    </row>
    <row r="121" spans="2:14" x14ac:dyDescent="0.25">
      <c r="B121" s="96"/>
      <c r="C121" s="529" t="s">
        <v>365</v>
      </c>
      <c r="D121" s="530"/>
      <c r="E121" s="534">
        <f ca="1">0.104*E116/1000000*Vit_max^2</f>
        <v>77.579700894694255</v>
      </c>
      <c r="F121" s="535">
        <f ca="1">E121/g</f>
        <v>7.9082263908964583</v>
      </c>
      <c r="G121" s="499"/>
      <c r="H121" s="499"/>
      <c r="I121" s="499"/>
      <c r="J121" s="499"/>
      <c r="K121" s="81"/>
      <c r="L121" s="81"/>
      <c r="M121" s="81"/>
      <c r="N121" s="97"/>
    </row>
    <row r="122" spans="2:14" ht="12.75" customHeight="1" x14ac:dyDescent="0.25">
      <c r="B122" s="96"/>
      <c r="C122" s="81"/>
      <c r="D122" s="81"/>
      <c r="E122" s="81"/>
      <c r="F122" s="81"/>
      <c r="G122" s="81"/>
      <c r="H122" s="499"/>
      <c r="I122" s="499"/>
      <c r="J122" s="499"/>
      <c r="K122" s="81"/>
      <c r="L122" s="81"/>
      <c r="M122" s="81"/>
      <c r="N122" s="97"/>
    </row>
    <row r="123" spans="2:14" ht="12.75" customHeight="1" x14ac:dyDescent="0.3">
      <c r="B123" s="96"/>
      <c r="C123" s="81"/>
      <c r="D123" s="81"/>
      <c r="E123" s="81"/>
      <c r="F123" s="81"/>
      <c r="G123" s="504"/>
      <c r="H123" s="504"/>
      <c r="I123" s="504"/>
      <c r="J123" s="499"/>
      <c r="K123" s="81"/>
      <c r="L123" s="81"/>
      <c r="M123" s="81"/>
      <c r="N123" s="97"/>
    </row>
    <row r="124" spans="2:14" ht="12.75" customHeight="1" x14ac:dyDescent="0.3">
      <c r="B124" s="96"/>
      <c r="C124" s="500"/>
      <c r="D124" s="504" t="s">
        <v>366</v>
      </c>
      <c r="E124" s="524"/>
      <c r="F124" s="81"/>
      <c r="G124" s="81"/>
      <c r="H124" s="81"/>
      <c r="I124" s="81"/>
      <c r="J124" s="499"/>
      <c r="K124" s="499"/>
      <c r="L124" s="81"/>
      <c r="M124" s="81"/>
      <c r="N124" s="97"/>
    </row>
    <row r="125" spans="2:14" x14ac:dyDescent="0.25">
      <c r="B125" s="96"/>
      <c r="C125" s="517" t="s">
        <v>367</v>
      </c>
      <c r="D125" s="509"/>
      <c r="E125" s="509"/>
      <c r="F125" s="509"/>
      <c r="G125" s="509"/>
      <c r="H125" s="81"/>
      <c r="I125" s="81"/>
      <c r="J125" s="499"/>
      <c r="K125" s="499"/>
      <c r="L125" s="81"/>
      <c r="M125" s="81"/>
      <c r="N125" s="97"/>
    </row>
    <row r="126" spans="2:14" x14ac:dyDescent="0.25">
      <c r="B126" s="96"/>
      <c r="C126" s="525" t="s">
        <v>368</v>
      </c>
      <c r="D126" s="526"/>
      <c r="E126" s="531">
        <v>4</v>
      </c>
      <c r="F126" s="509"/>
      <c r="G126" s="499"/>
      <c r="H126" s="81"/>
      <c r="I126" s="81"/>
      <c r="J126" s="499"/>
      <c r="K126" s="81"/>
      <c r="L126" s="81"/>
      <c r="M126" s="81"/>
      <c r="N126" s="97"/>
    </row>
    <row r="127" spans="2:14" x14ac:dyDescent="0.25">
      <c r="B127" s="96"/>
      <c r="C127" s="529" t="s">
        <v>369</v>
      </c>
      <c r="D127" s="530"/>
      <c r="E127" s="538">
        <f>S_para</f>
        <v>0.26020500000000002</v>
      </c>
      <c r="F127" s="509"/>
      <c r="G127" s="499"/>
      <c r="H127" s="81"/>
      <c r="I127" s="81"/>
      <c r="J127" s="499"/>
      <c r="K127" s="81"/>
      <c r="L127" s="81"/>
      <c r="M127" s="81"/>
      <c r="N127" s="97"/>
    </row>
    <row r="128" spans="2:14" x14ac:dyDescent="0.25">
      <c r="B128" s="96"/>
      <c r="C128" s="775" t="s">
        <v>370</v>
      </c>
      <c r="D128" s="776"/>
      <c r="E128" s="532">
        <f ca="1">0.5*Rho_moyen*S_para*Vit_culmi^2</f>
        <v>140.08999516652011</v>
      </c>
      <c r="F128" s="533">
        <f ca="1">E128/g</f>
        <v>14.280325705047922</v>
      </c>
      <c r="G128" s="509"/>
      <c r="H128" s="499"/>
      <c r="I128" s="499"/>
      <c r="J128" s="499"/>
      <c r="K128" s="499"/>
      <c r="L128" s="81"/>
      <c r="M128" s="81"/>
      <c r="N128" s="97"/>
    </row>
    <row r="129" spans="2:14" x14ac:dyDescent="0.25">
      <c r="B129" s="96"/>
      <c r="C129" s="777" t="s">
        <v>371</v>
      </c>
      <c r="D129" s="778"/>
      <c r="E129" s="534">
        <f ca="1">E128/E126*2</f>
        <v>70.044997583260056</v>
      </c>
      <c r="F129" s="535">
        <f ca="1">E129/g</f>
        <v>7.1401628525239609</v>
      </c>
      <c r="G129" s="509"/>
      <c r="H129" s="499"/>
      <c r="I129" s="499"/>
      <c r="J129" s="499"/>
      <c r="K129" s="499"/>
      <c r="L129" s="81"/>
      <c r="M129" s="81"/>
      <c r="N129" s="97"/>
    </row>
    <row r="130" spans="2:14" x14ac:dyDescent="0.25">
      <c r="B130" s="96"/>
      <c r="C130" s="514"/>
      <c r="D130" s="514"/>
      <c r="E130" s="515"/>
      <c r="F130" s="516"/>
      <c r="G130" s="509"/>
      <c r="H130" s="499"/>
      <c r="I130" s="499"/>
      <c r="J130" s="499"/>
      <c r="K130" s="499"/>
      <c r="L130" s="81"/>
      <c r="M130" s="81"/>
      <c r="N130" s="97"/>
    </row>
    <row r="131" spans="2:14" x14ac:dyDescent="0.25">
      <c r="B131" s="96"/>
      <c r="C131" s="517" t="s">
        <v>372</v>
      </c>
      <c r="D131" s="499"/>
      <c r="E131" s="499"/>
      <c r="F131" s="499"/>
      <c r="G131" s="499"/>
      <c r="H131" s="499"/>
      <c r="I131" s="499"/>
      <c r="J131" s="499"/>
      <c r="K131" s="499"/>
      <c r="L131" s="81"/>
      <c r="M131" s="81"/>
      <c r="N131" s="97"/>
    </row>
    <row r="132" spans="2:14" x14ac:dyDescent="0.25">
      <c r="B132" s="96"/>
      <c r="C132" s="775" t="s">
        <v>373</v>
      </c>
      <c r="D132" s="776"/>
      <c r="E132" s="536">
        <v>1</v>
      </c>
      <c r="F132" s="499"/>
      <c r="G132" s="499"/>
      <c r="H132" s="499"/>
      <c r="I132" s="499"/>
      <c r="J132" s="513"/>
      <c r="K132" s="499"/>
      <c r="L132" s="81"/>
      <c r="M132" s="81"/>
      <c r="N132" s="97"/>
    </row>
    <row r="133" spans="2:14" x14ac:dyDescent="0.25">
      <c r="B133" s="96"/>
      <c r="C133" s="773" t="s">
        <v>374</v>
      </c>
      <c r="D133" s="774"/>
      <c r="E133" s="537">
        <f ca="1">2*E132*Acc_max/g</f>
        <v>16.836467715892024</v>
      </c>
      <c r="F133" s="500"/>
      <c r="G133" s="500"/>
      <c r="H133" s="500"/>
      <c r="I133" s="500"/>
      <c r="J133" s="499"/>
      <c r="K133" s="499"/>
      <c r="L133" s="81"/>
      <c r="M133" s="81"/>
      <c r="N133" s="97"/>
    </row>
    <row r="134" spans="2:14" ht="13.8" thickBot="1" x14ac:dyDescent="0.3">
      <c r="B134" s="99"/>
      <c r="C134" s="543"/>
      <c r="D134" s="543"/>
      <c r="E134" s="543"/>
      <c r="F134" s="543"/>
      <c r="G134" s="543"/>
      <c r="H134" s="543"/>
      <c r="I134" s="543"/>
      <c r="J134" s="544"/>
      <c r="K134" s="544"/>
      <c r="L134" s="102"/>
      <c r="M134" s="102"/>
      <c r="N134" s="101"/>
    </row>
  </sheetData>
  <sheetProtection password="C6AC" sheet="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I68:I73 I16">
    <cfRule type="expression" dxfId="2" priority="6" stopIfTrue="1">
      <formula>Nb_sat="0 satellite"</formula>
    </cfRule>
  </conditionalFormatting>
  <conditionalFormatting sqref="D18:E18">
    <cfRule type="expression" dxfId="1" priority="2" stopIfTrue="1">
      <formula>IF(Propu="Cariacou",0,1)</formula>
    </cfRule>
  </conditionalFormatting>
  <conditionalFormatting sqref="F18:I19">
    <cfRule type="expression" dxfId="0" priority="1" stopIfTrue="1">
      <formula>IF(Propu="Cariacou",1,0)</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214</vt:i4>
      </vt:variant>
    </vt:vector>
  </HeadingPairs>
  <TitlesOfParts>
    <vt:vector size="222"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dlnr@protonmail.com</cp:lastModifiedBy>
  <cp:lastPrinted>2011-11-08T21:12:34Z</cp:lastPrinted>
  <dcterms:created xsi:type="dcterms:W3CDTF">2008-11-03T20:48:06Z</dcterms:created>
  <dcterms:modified xsi:type="dcterms:W3CDTF">2022-11-16T20:52:11Z</dcterms:modified>
</cp:coreProperties>
</file>